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628"/>
  <workbookPr/>
  <mc:AlternateContent xmlns:mc="http://schemas.openxmlformats.org/markup-compatibility/2006">
    <mc:Choice Requires="x15">
      <x15ac:absPath xmlns:x15ac="http://schemas.microsoft.com/office/spreadsheetml/2010/11/ac" url="R:\1_RAPORTY OKRESOWE\2020\4Q'2020\Spreadsheet\"/>
    </mc:Choice>
  </mc:AlternateContent>
  <xr:revisionPtr revIDLastSave="0" documentId="13_ncr:1_{B8762042-62AD-46D0-9863-A04EC11F6DDB}" xr6:coauthVersionLast="46" xr6:coauthVersionMax="46" xr10:uidLastSave="{00000000-0000-0000-0000-000000000000}"/>
  <bookViews>
    <workbookView xWindow="-108" yWindow="-108" windowWidth="23256" windowHeight="12576" tabRatio="922" xr2:uid="{00000000-000D-0000-FFFF-FFFF00000000}"/>
  </bookViews>
  <sheets>
    <sheet name="Basic information" sheetId="7" r:id="rId1"/>
    <sheet name="Profit &amp; Loss_Q" sheetId="8" r:id="rId2"/>
    <sheet name="Profit &amp; Loss_Y" sheetId="9" r:id="rId3"/>
    <sheet name="Balance sheet" sheetId="10" r:id="rId4"/>
    <sheet name="Cashflow_Q" sheetId="11" r:id="rId5"/>
    <sheet name="Cashflow_FY" sheetId="12" r:id="rId6"/>
    <sheet name="Investment" sheetId="14" r:id="rId7"/>
    <sheet name="HR" sheetId="1" r:id="rId8"/>
    <sheet name="Akcjonariat" sheetId="13" r:id="rId9"/>
  </sheets>
  <calcPr calcId="181029"/>
</workbook>
</file>

<file path=xl/calcChain.xml><?xml version="1.0" encoding="utf-8"?>
<calcChain xmlns="http://schemas.openxmlformats.org/spreadsheetml/2006/main">
  <c r="H17" i="9" l="1"/>
  <c r="W21" i="10"/>
  <c r="U3" i="8" l="1"/>
  <c r="H5" i="9"/>
  <c r="U5" i="8" l="1"/>
  <c r="U17" i="8"/>
  <c r="T17" i="8"/>
  <c r="AE11" i="1" l="1"/>
  <c r="AD11" i="1"/>
  <c r="AE10" i="1"/>
  <c r="AD10" i="1"/>
  <c r="AE8" i="1"/>
  <c r="AD8" i="1"/>
  <c r="AE7" i="1"/>
  <c r="AD7" i="1"/>
  <c r="AE6" i="1"/>
  <c r="AD6" i="1"/>
  <c r="AE5" i="1"/>
  <c r="AD5" i="1"/>
  <c r="AE3" i="1"/>
  <c r="AD3" i="1"/>
  <c r="W6" i="14"/>
  <c r="V6" i="14"/>
  <c r="W5" i="14"/>
  <c r="V5" i="14"/>
  <c r="W4" i="14"/>
  <c r="V4" i="14"/>
  <c r="W3" i="14"/>
  <c r="V3" i="14"/>
  <c r="W2" i="14"/>
  <c r="V2" i="14"/>
  <c r="T4" i="14"/>
  <c r="T2" i="14"/>
  <c r="T7" i="14" s="1"/>
  <c r="I31" i="12"/>
  <c r="I30" i="12"/>
  <c r="I29" i="12"/>
  <c r="I27" i="12"/>
  <c r="I26" i="12"/>
  <c r="I25" i="12"/>
  <c r="I24" i="12"/>
  <c r="I23" i="12"/>
  <c r="I22" i="12"/>
  <c r="I20" i="12"/>
  <c r="I19" i="12"/>
  <c r="I18" i="12"/>
  <c r="I17" i="12"/>
  <c r="I16" i="12"/>
  <c r="I14" i="12"/>
  <c r="I13" i="12"/>
  <c r="I12" i="12"/>
  <c r="I11" i="12"/>
  <c r="I10" i="12"/>
  <c r="I9" i="12"/>
  <c r="I8" i="12"/>
  <c r="I7" i="12"/>
  <c r="I6" i="12"/>
  <c r="I5" i="12"/>
  <c r="I4" i="12"/>
  <c r="I3" i="12"/>
  <c r="W27" i="11"/>
  <c r="V27" i="11"/>
  <c r="W26" i="11"/>
  <c r="V26" i="11"/>
  <c r="W23" i="11"/>
  <c r="V23" i="11"/>
  <c r="W22" i="11"/>
  <c r="V22" i="11"/>
  <c r="W21" i="11"/>
  <c r="V21" i="11"/>
  <c r="W19" i="11"/>
  <c r="V19" i="11"/>
  <c r="W18" i="11"/>
  <c r="V18" i="11"/>
  <c r="W17" i="11"/>
  <c r="V17" i="11"/>
  <c r="W16" i="11"/>
  <c r="V16" i="11"/>
  <c r="W15" i="11"/>
  <c r="V15" i="11"/>
  <c r="W13" i="11"/>
  <c r="V13" i="11"/>
  <c r="W12" i="11"/>
  <c r="V12" i="11"/>
  <c r="W11" i="11"/>
  <c r="V11" i="11"/>
  <c r="W10" i="11"/>
  <c r="V10" i="11"/>
  <c r="W9" i="11"/>
  <c r="V9" i="11"/>
  <c r="W8" i="11"/>
  <c r="V8" i="11"/>
  <c r="W7" i="11"/>
  <c r="V7" i="11"/>
  <c r="W6" i="11"/>
  <c r="V6" i="11"/>
  <c r="W5" i="11"/>
  <c r="V5" i="11"/>
  <c r="W4" i="11"/>
  <c r="V4" i="11"/>
  <c r="W3" i="11"/>
  <c r="V3" i="11"/>
  <c r="T25" i="11"/>
  <c r="Y29" i="10"/>
  <c r="X29" i="10"/>
  <c r="Y28" i="10"/>
  <c r="X28" i="10"/>
  <c r="X27" i="10"/>
  <c r="Y26" i="10"/>
  <c r="X26" i="10"/>
  <c r="Y25" i="10"/>
  <c r="X25" i="10"/>
  <c r="Y24" i="10"/>
  <c r="X24" i="10"/>
  <c r="Y23" i="10"/>
  <c r="X23" i="10"/>
  <c r="Y22" i="10"/>
  <c r="X22" i="10"/>
  <c r="X21" i="10"/>
  <c r="Y20" i="10"/>
  <c r="X20" i="10"/>
  <c r="Y19" i="10"/>
  <c r="X19" i="10"/>
  <c r="Y18" i="10"/>
  <c r="X18" i="10"/>
  <c r="Y17" i="10"/>
  <c r="X17" i="10"/>
  <c r="Y16" i="10"/>
  <c r="X16" i="10"/>
  <c r="Y14" i="10"/>
  <c r="X14" i="10"/>
  <c r="Y13" i="10"/>
  <c r="X13" i="10"/>
  <c r="Y12" i="10"/>
  <c r="X12" i="10"/>
  <c r="Y11" i="10"/>
  <c r="Y10" i="10"/>
  <c r="X10" i="10"/>
  <c r="Y9" i="10"/>
  <c r="X9" i="10"/>
  <c r="Y8" i="10"/>
  <c r="X8" i="10"/>
  <c r="Y7" i="10"/>
  <c r="X7" i="10"/>
  <c r="Y6" i="10"/>
  <c r="X6" i="10"/>
  <c r="Y5" i="10"/>
  <c r="X5" i="10"/>
  <c r="Y4" i="10"/>
  <c r="X4" i="10"/>
  <c r="Y3" i="10"/>
  <c r="X3" i="10"/>
  <c r="V27" i="10"/>
  <c r="V26" i="10"/>
  <c r="V21" i="10"/>
  <c r="V11" i="10"/>
  <c r="X11" i="10" s="1"/>
  <c r="I29" i="9"/>
  <c r="I28" i="9"/>
  <c r="I25" i="9"/>
  <c r="I24" i="9"/>
  <c r="I23" i="9"/>
  <c r="I22" i="9"/>
  <c r="I21" i="9"/>
  <c r="I16" i="9"/>
  <c r="I14" i="9"/>
  <c r="I12" i="9"/>
  <c r="I11" i="9"/>
  <c r="I7" i="9"/>
  <c r="I5" i="9"/>
  <c r="I3" i="9"/>
  <c r="I26" i="9"/>
  <c r="I19" i="9"/>
  <c r="I17" i="9"/>
  <c r="I9" i="9"/>
  <c r="I2" i="9"/>
  <c r="G27" i="9"/>
  <c r="G20" i="9"/>
  <c r="G18" i="9"/>
  <c r="G15" i="9"/>
  <c r="G13" i="9"/>
  <c r="G10" i="9"/>
  <c r="G8" i="9"/>
  <c r="G6" i="9"/>
  <c r="G4" i="9"/>
  <c r="W29" i="8"/>
  <c r="V29" i="8"/>
  <c r="W28" i="8"/>
  <c r="V28" i="8"/>
  <c r="W25" i="8"/>
  <c r="V25" i="8"/>
  <c r="W24" i="8"/>
  <c r="V24" i="8"/>
  <c r="W23" i="8"/>
  <c r="V23" i="8"/>
  <c r="W22" i="8"/>
  <c r="V22" i="8"/>
  <c r="W21" i="8"/>
  <c r="V21" i="8"/>
  <c r="W16" i="8"/>
  <c r="V16" i="8"/>
  <c r="W14" i="8"/>
  <c r="V14" i="8"/>
  <c r="W12" i="8"/>
  <c r="V12" i="8"/>
  <c r="W11" i="8"/>
  <c r="V11" i="8"/>
  <c r="W7" i="8"/>
  <c r="V7" i="8"/>
  <c r="W5" i="8"/>
  <c r="V5" i="8"/>
  <c r="W3" i="8"/>
  <c r="V3" i="8"/>
  <c r="W26" i="8"/>
  <c r="V26" i="8"/>
  <c r="W19" i="8"/>
  <c r="V19" i="8"/>
  <c r="W17" i="8"/>
  <c r="V17" i="8"/>
  <c r="W9" i="8"/>
  <c r="V9" i="8"/>
  <c r="W2" i="8"/>
  <c r="V2" i="8"/>
  <c r="T27" i="8"/>
  <c r="T22" i="8"/>
  <c r="T20" i="8"/>
  <c r="T18" i="8"/>
  <c r="T15" i="8"/>
  <c r="T13" i="8"/>
  <c r="T10" i="8"/>
  <c r="T8" i="8"/>
  <c r="T6" i="8"/>
  <c r="T4" i="8"/>
  <c r="U25" i="11" l="1"/>
  <c r="W25" i="11" l="1"/>
  <c r="V25" i="11"/>
  <c r="N7" i="14"/>
  <c r="O7" i="14"/>
  <c r="P7" i="14"/>
  <c r="Q7" i="14"/>
  <c r="R7" i="14"/>
  <c r="S7" i="14"/>
  <c r="S27" i="8" l="1"/>
  <c r="S20" i="8"/>
  <c r="S18" i="8"/>
  <c r="S15" i="8"/>
  <c r="S13" i="8"/>
  <c r="S10" i="8"/>
  <c r="S8" i="8"/>
  <c r="S6" i="8"/>
  <c r="S4" i="8"/>
  <c r="R27" i="8" l="1"/>
  <c r="R20" i="8"/>
  <c r="R18" i="8"/>
  <c r="R15" i="8"/>
  <c r="R13" i="8"/>
  <c r="R10" i="8"/>
  <c r="R8" i="8"/>
  <c r="R6" i="8"/>
  <c r="R4" i="8"/>
  <c r="S27" i="10" l="1"/>
  <c r="Y27" i="10" s="1"/>
  <c r="S21" i="10"/>
  <c r="Y21" i="10" s="1"/>
  <c r="U7" i="14" l="1"/>
  <c r="W7" i="14" l="1"/>
  <c r="V7" i="14"/>
  <c r="Q27" i="8"/>
  <c r="Q20" i="8"/>
  <c r="Q18" i="8"/>
  <c r="Q15" i="8"/>
  <c r="Q13" i="8"/>
  <c r="Q10" i="8"/>
  <c r="Q8" i="8"/>
  <c r="Q6" i="8"/>
  <c r="Q4" i="8"/>
  <c r="U27" i="8" l="1"/>
  <c r="U20" i="8"/>
  <c r="U18" i="8"/>
  <c r="U15" i="8"/>
  <c r="U13" i="8"/>
  <c r="U10" i="8"/>
  <c r="U8" i="8"/>
  <c r="U6" i="8"/>
  <c r="U4" i="8"/>
  <c r="V15" i="8" l="1"/>
  <c r="W15" i="8"/>
  <c r="W18" i="8"/>
  <c r="V18" i="8"/>
  <c r="V10" i="8"/>
  <c r="W10" i="8"/>
  <c r="V20" i="8"/>
  <c r="W20" i="8"/>
  <c r="V6" i="8"/>
  <c r="W6" i="8"/>
  <c r="W8" i="8"/>
  <c r="V8" i="8"/>
  <c r="W4" i="8"/>
  <c r="V4" i="8"/>
  <c r="W13" i="8"/>
  <c r="V13" i="8"/>
  <c r="W27" i="8"/>
  <c r="V27" i="8"/>
  <c r="H27" i="9"/>
  <c r="I27" i="9" s="1"/>
  <c r="H20" i="9"/>
  <c r="I20" i="9" s="1"/>
  <c r="H18" i="9"/>
  <c r="I18" i="9" s="1"/>
  <c r="H15" i="9"/>
  <c r="I15" i="9" s="1"/>
  <c r="H13" i="9"/>
  <c r="I13" i="9" s="1"/>
  <c r="H10" i="9"/>
  <c r="I10" i="9" s="1"/>
  <c r="H8" i="9"/>
  <c r="I8" i="9" s="1"/>
  <c r="H6" i="9"/>
  <c r="I6" i="9" s="1"/>
  <c r="H4" i="9"/>
  <c r="I4" i="9" s="1"/>
  <c r="P27" i="8"/>
  <c r="P20" i="8"/>
  <c r="P18" i="8"/>
  <c r="P15" i="8"/>
  <c r="P13" i="8"/>
  <c r="P10" i="8"/>
  <c r="P8" i="8"/>
  <c r="P3" i="8"/>
  <c r="P5" i="8" l="1"/>
  <c r="P4" i="8"/>
  <c r="P6" i="8" l="1"/>
  <c r="Q27" i="10"/>
  <c r="Q26" i="10"/>
  <c r="Q21" i="10"/>
  <c r="Q11" i="10"/>
  <c r="O27" i="8"/>
  <c r="O20" i="8"/>
  <c r="O18" i="8"/>
  <c r="O15" i="8"/>
  <c r="O13" i="8"/>
  <c r="O10" i="8"/>
  <c r="O8" i="8"/>
  <c r="O6" i="8"/>
  <c r="O4" i="8"/>
  <c r="P11" i="10" l="1"/>
  <c r="N23" i="11" l="1"/>
  <c r="N27" i="8"/>
  <c r="N20" i="8"/>
  <c r="N17" i="8"/>
  <c r="N15" i="8"/>
  <c r="N13" i="8"/>
  <c r="N10" i="8"/>
  <c r="N8" i="8"/>
  <c r="N6" i="8"/>
  <c r="N4" i="8"/>
  <c r="N18" i="8" l="1"/>
  <c r="O23" i="10"/>
  <c r="F27" i="9"/>
  <c r="F20" i="9"/>
  <c r="F17" i="9"/>
  <c r="F15" i="9"/>
  <c r="F13" i="9"/>
  <c r="F10" i="9"/>
  <c r="F8" i="9"/>
  <c r="F5" i="9"/>
  <c r="F4" i="9"/>
  <c r="M27" i="8"/>
  <c r="M15" i="8"/>
  <c r="M13" i="8"/>
  <c r="M18" i="8"/>
  <c r="F18" i="9" l="1"/>
  <c r="F6" i="9"/>
  <c r="M6" i="8"/>
  <c r="M4" i="8"/>
  <c r="M8" i="8"/>
  <c r="M20" i="8"/>
  <c r="M10" i="8"/>
  <c r="AE6" i="14" l="1"/>
  <c r="AE5" i="14"/>
  <c r="AE4" i="14"/>
  <c r="AE3" i="14"/>
  <c r="AE2" i="14"/>
  <c r="M7" i="14" l="1"/>
  <c r="L26" i="8" l="1"/>
  <c r="L23" i="8"/>
  <c r="L24" i="8"/>
  <c r="L22" i="8"/>
  <c r="L19" i="8"/>
  <c r="L16" i="8"/>
  <c r="L14" i="8"/>
  <c r="L12" i="8"/>
  <c r="L11" i="8"/>
  <c r="L9" i="8"/>
  <c r="L7" i="8"/>
  <c r="L2" i="8" l="1"/>
  <c r="L28" i="8" l="1"/>
  <c r="L25" i="8"/>
  <c r="L20" i="8"/>
  <c r="L15" i="8"/>
  <c r="L13" i="8"/>
  <c r="L10" i="8"/>
  <c r="L6" i="8"/>
  <c r="L8" i="8" l="1"/>
  <c r="L4" i="8"/>
  <c r="L18" i="8"/>
  <c r="L27" i="8"/>
  <c r="L13" i="11" l="1"/>
  <c r="L7" i="11" l="1"/>
  <c r="L25" i="11" l="1"/>
  <c r="L23" i="11"/>
  <c r="L22" i="11"/>
  <c r="L21" i="11"/>
  <c r="L19" i="11"/>
  <c r="L18" i="11"/>
  <c r="L17" i="11"/>
  <c r="L16" i="11"/>
  <c r="L15" i="11"/>
  <c r="L12" i="11"/>
  <c r="L11" i="11"/>
  <c r="L10" i="11"/>
  <c r="L9" i="11"/>
  <c r="L8" i="11"/>
  <c r="L6" i="11"/>
  <c r="L5" i="11"/>
  <c r="L4" i="11"/>
  <c r="L3" i="11"/>
  <c r="K7" i="14" l="1"/>
  <c r="M25" i="10"/>
  <c r="M21" i="10"/>
  <c r="M16" i="10"/>
  <c r="K27" i="8"/>
  <c r="K20" i="8"/>
  <c r="K18" i="8"/>
  <c r="K15" i="8"/>
  <c r="K13" i="8"/>
  <c r="K10" i="8"/>
  <c r="K8" i="8"/>
  <c r="K6" i="8"/>
  <c r="K4" i="8"/>
  <c r="L7" i="14" l="1"/>
  <c r="J7" i="14"/>
  <c r="F5" i="14"/>
  <c r="Y5" i="14" s="1"/>
  <c r="G7" i="14"/>
  <c r="Z6" i="14"/>
  <c r="Y6" i="14"/>
  <c r="Z5" i="14"/>
  <c r="Z4" i="14"/>
  <c r="Y4" i="14"/>
  <c r="Z3" i="14"/>
  <c r="Y3" i="14"/>
  <c r="Z2" i="14"/>
  <c r="Y2" i="14"/>
  <c r="L27" i="10"/>
  <c r="L20" i="10"/>
  <c r="I28" i="10"/>
  <c r="I14" i="10"/>
  <c r="G27" i="8"/>
  <c r="J27" i="8"/>
  <c r="G20" i="8"/>
  <c r="J20" i="8"/>
  <c r="G18" i="8"/>
  <c r="J18" i="8"/>
  <c r="G15" i="8"/>
  <c r="J15" i="8"/>
  <c r="G10" i="8"/>
  <c r="J10" i="8"/>
  <c r="G8" i="8"/>
  <c r="J8" i="8"/>
  <c r="G6" i="8"/>
  <c r="J6" i="8"/>
  <c r="G13" i="8"/>
  <c r="J13" i="8"/>
  <c r="G4" i="8"/>
  <c r="J4" i="8"/>
  <c r="F27" i="8"/>
  <c r="I27" i="8"/>
  <c r="F20" i="8"/>
  <c r="I20" i="8"/>
  <c r="F18" i="8"/>
  <c r="I18" i="8"/>
  <c r="F15" i="8"/>
  <c r="I15" i="8"/>
  <c r="F13" i="8"/>
  <c r="I13" i="8"/>
  <c r="F10" i="8"/>
  <c r="F8" i="8"/>
  <c r="I8" i="8"/>
  <c r="F6" i="8"/>
  <c r="I6" i="8"/>
  <c r="F4" i="8"/>
  <c r="I4" i="8"/>
  <c r="I10" i="8"/>
  <c r="I6" i="14"/>
  <c r="I5" i="14"/>
  <c r="I4" i="14"/>
  <c r="I3" i="14"/>
  <c r="I2" i="14"/>
  <c r="E4" i="9"/>
  <c r="E27" i="9"/>
  <c r="E20" i="9"/>
  <c r="E18" i="9"/>
  <c r="E15" i="9"/>
  <c r="E13" i="9"/>
  <c r="E10" i="9"/>
  <c r="E8" i="9"/>
  <c r="E6" i="9"/>
  <c r="H10" i="8"/>
  <c r="H2" i="14"/>
  <c r="H4" i="14"/>
  <c r="H6" i="14"/>
  <c r="B7" i="14"/>
  <c r="C7" i="14"/>
  <c r="D7" i="14"/>
  <c r="J28" i="10"/>
  <c r="J14" i="10"/>
  <c r="H27" i="8"/>
  <c r="D27" i="8"/>
  <c r="H20" i="8"/>
  <c r="D20" i="8"/>
  <c r="H18" i="8"/>
  <c r="D18" i="8"/>
  <c r="H15" i="8"/>
  <c r="D15" i="8"/>
  <c r="H13" i="8"/>
  <c r="D13" i="8"/>
  <c r="D10" i="8"/>
  <c r="H8" i="8"/>
  <c r="D8" i="8"/>
  <c r="H6" i="8"/>
  <c r="D6" i="8"/>
  <c r="H4" i="8"/>
  <c r="D4" i="8"/>
  <c r="C3" i="13"/>
  <c r="C4" i="13"/>
  <c r="C5" i="13"/>
  <c r="C6" i="13"/>
  <c r="C2" i="13"/>
  <c r="E7" i="14"/>
  <c r="D27" i="9"/>
  <c r="C27" i="9"/>
  <c r="B27" i="9"/>
  <c r="D20" i="9"/>
  <c r="C20" i="9"/>
  <c r="B20" i="9"/>
  <c r="D18" i="9"/>
  <c r="C18" i="9"/>
  <c r="B18" i="9"/>
  <c r="D15" i="9"/>
  <c r="C15" i="9"/>
  <c r="B15" i="9"/>
  <c r="D13" i="9"/>
  <c r="C13" i="9"/>
  <c r="B13" i="9"/>
  <c r="D10" i="9"/>
  <c r="C10" i="9"/>
  <c r="B10" i="9"/>
  <c r="D8" i="9"/>
  <c r="C8" i="9"/>
  <c r="B8" i="9"/>
  <c r="D6" i="9"/>
  <c r="C6" i="9"/>
  <c r="B6" i="9"/>
  <c r="D4" i="9"/>
  <c r="C4" i="9"/>
  <c r="B4" i="9"/>
  <c r="B27" i="8"/>
  <c r="E27" i="8"/>
  <c r="C27" i="8"/>
  <c r="B20" i="8"/>
  <c r="E20" i="8"/>
  <c r="C20" i="8"/>
  <c r="B18" i="8"/>
  <c r="E18" i="8"/>
  <c r="C18" i="8"/>
  <c r="B15" i="8"/>
  <c r="E15" i="8"/>
  <c r="C15" i="8"/>
  <c r="B13" i="8"/>
  <c r="E13" i="8"/>
  <c r="C13" i="8"/>
  <c r="B10" i="8"/>
  <c r="E10" i="8"/>
  <c r="C10" i="8"/>
  <c r="B8" i="8"/>
  <c r="E8" i="8"/>
  <c r="C8" i="8"/>
  <c r="B6" i="8"/>
  <c r="E6" i="8"/>
  <c r="C6" i="8"/>
  <c r="B4" i="8"/>
  <c r="E4" i="8"/>
  <c r="C4" i="8"/>
  <c r="AD4" i="14" l="1"/>
  <c r="AG4" i="14" s="1"/>
  <c r="AE7" i="14"/>
  <c r="AD2" i="14"/>
  <c r="AG2" i="14" s="1"/>
  <c r="AD3" i="14"/>
  <c r="AG3" i="14" s="1"/>
  <c r="AD5" i="14"/>
  <c r="AG5" i="14" s="1"/>
  <c r="AD6" i="14"/>
  <c r="AG6" i="14" s="1"/>
  <c r="F7" i="14"/>
  <c r="H7" i="14"/>
  <c r="AB2" i="14"/>
  <c r="AB4" i="14"/>
  <c r="AB6" i="14"/>
  <c r="AB3" i="14"/>
  <c r="AB5" i="14"/>
  <c r="I7" i="14"/>
  <c r="Z7" i="14"/>
  <c r="Y7" i="14" l="1"/>
  <c r="AB7" i="14" s="1"/>
  <c r="AD7" i="14"/>
  <c r="AG7" i="14" s="1"/>
</calcChain>
</file>

<file path=xl/sharedStrings.xml><?xml version="1.0" encoding="utf-8"?>
<sst xmlns="http://schemas.openxmlformats.org/spreadsheetml/2006/main" count="323" uniqueCount="193">
  <si>
    <t>Ryszard Wtorkowski</t>
  </si>
  <si>
    <t>Iwona Wtorkowska</t>
  </si>
  <si>
    <t>31.03.2016.</t>
  </si>
  <si>
    <t>30.06.2016.</t>
  </si>
  <si>
    <t>30.09.2016.</t>
  </si>
  <si>
    <t>31.12.2016.</t>
  </si>
  <si>
    <t>31.03.2017.</t>
  </si>
  <si>
    <t>Zmiana y/y</t>
  </si>
  <si>
    <t>EBITDA</t>
  </si>
  <si>
    <t>2015Q2</t>
  </si>
  <si>
    <t>2015Q3</t>
  </si>
  <si>
    <t>2015Q4</t>
  </si>
  <si>
    <t>2016Q1</t>
  </si>
  <si>
    <t>2016Q2</t>
  </si>
  <si>
    <t>2016Q3</t>
  </si>
  <si>
    <t>2016Q4</t>
  </si>
  <si>
    <t>2017Q1</t>
  </si>
  <si>
    <t>31.12.2014.</t>
  </si>
  <si>
    <t>31.12.2015.</t>
  </si>
  <si>
    <t>2014Q1</t>
  </si>
  <si>
    <t>2014Q2</t>
  </si>
  <si>
    <t>2014Q3</t>
  </si>
  <si>
    <t>2014Q4</t>
  </si>
  <si>
    <t>2015Q1</t>
  </si>
  <si>
    <t>LUG S.A.</t>
  </si>
  <si>
    <t>Ticker:</t>
  </si>
  <si>
    <t>NewConnect</t>
  </si>
  <si>
    <t>LUG</t>
  </si>
  <si>
    <t>ISIN:</t>
  </si>
  <si>
    <t>PLLUG0000010</t>
  </si>
  <si>
    <t>2017Q2</t>
  </si>
  <si>
    <t>2017H1</t>
  </si>
  <si>
    <t>2017Q3</t>
  </si>
  <si>
    <t>30.09.2017</t>
  </si>
  <si>
    <t>30.06.2017</t>
  </si>
  <si>
    <t>31.12.2017.</t>
  </si>
  <si>
    <t>2017Q4</t>
  </si>
  <si>
    <t>2018Q1</t>
  </si>
  <si>
    <t>31.03.2018</t>
  </si>
  <si>
    <t>2018Q2</t>
  </si>
  <si>
    <t>2018H1</t>
  </si>
  <si>
    <t>30.06.2018</t>
  </si>
  <si>
    <t>2018Q3</t>
  </si>
  <si>
    <t>30.09.2018</t>
  </si>
  <si>
    <t>2018Q4</t>
  </si>
  <si>
    <t>2018Q1-4</t>
  </si>
  <si>
    <t>31.12.2018</t>
  </si>
  <si>
    <t>2017Q1-4</t>
  </si>
  <si>
    <t>2019Q1</t>
  </si>
  <si>
    <t>31.03.2019</t>
  </si>
  <si>
    <t>2019Q2</t>
  </si>
  <si>
    <t>30.06.2019</t>
  </si>
  <si>
    <t>2019Q3</t>
  </si>
  <si>
    <t>30.09.2019</t>
  </si>
  <si>
    <t>2019Q4</t>
  </si>
  <si>
    <t>31.12.2019</t>
  </si>
  <si>
    <t>2020Q1</t>
  </si>
  <si>
    <t>31.03.2020</t>
  </si>
  <si>
    <t>2020Q2</t>
  </si>
  <si>
    <t>30.06.2020</t>
  </si>
  <si>
    <t>2020Q3</t>
  </si>
  <si>
    <t>30.09.2020</t>
  </si>
  <si>
    <t>2020Q4</t>
  </si>
  <si>
    <t>2020Q1-4</t>
  </si>
  <si>
    <t>31.12.2020</t>
  </si>
  <si>
    <t>Table of contents</t>
  </si>
  <si>
    <t>Profit and loss account:</t>
  </si>
  <si>
    <t>Balance sheet</t>
  </si>
  <si>
    <t>Cash-flow statement</t>
  </si>
  <si>
    <t>Investment</t>
  </si>
  <si>
    <t>Employment</t>
  </si>
  <si>
    <t>Shareholders</t>
  </si>
  <si>
    <t>quarterly data</t>
  </si>
  <si>
    <t>annual data</t>
  </si>
  <si>
    <t>Basic information</t>
  </si>
  <si>
    <t>Name:</t>
  </si>
  <si>
    <t>Quotation market:</t>
  </si>
  <si>
    <t>Branch:</t>
  </si>
  <si>
    <t>building and telecommunications installations</t>
  </si>
  <si>
    <t>Change q/q</t>
  </si>
  <si>
    <t>Change y/y</t>
  </si>
  <si>
    <t>[PLN million, %, pp]</t>
  </si>
  <si>
    <t>Sales revenues</t>
  </si>
  <si>
    <t>domestic revenues</t>
  </si>
  <si>
    <t>% of domestic revenues</t>
  </si>
  <si>
    <t>export revenues</t>
  </si>
  <si>
    <t>% of export revenues</t>
  </si>
  <si>
    <t>Costs of sold products, goods and materials</t>
  </si>
  <si>
    <t>Costs of sold products, goods and materials as % of incomes</t>
  </si>
  <si>
    <t>Gross profit/ loss brutto na sprzedaży</t>
  </si>
  <si>
    <t>Gross margin on sales</t>
  </si>
  <si>
    <t>Remaining operating costs</t>
  </si>
  <si>
    <t>Sales costs</t>
  </si>
  <si>
    <t>Sales costs as % of revenues</t>
  </si>
  <si>
    <t>General administrative costs</t>
  </si>
  <si>
    <t>General administrative costs as % of revenues</t>
  </si>
  <si>
    <t>EBITDA profitability</t>
  </si>
  <si>
    <t>Profit/ loss on operating activity</t>
  </si>
  <si>
    <t>Operational profitability</t>
  </si>
  <si>
    <t>Financial incomes</t>
  </si>
  <si>
    <t>Financial costs</t>
  </si>
  <si>
    <t>Profit/ loss before tax</t>
  </si>
  <si>
    <t>Income tax</t>
  </si>
  <si>
    <t>Net profit/ loss from continuing operations</t>
  </si>
  <si>
    <t>Net profit/ loss</t>
  </si>
  <si>
    <t>Net profitability</t>
  </si>
  <si>
    <t>Net profit/ loss due to shareholders of the dominant entity</t>
  </si>
  <si>
    <t>Net profit/ loss per one share (PLN)</t>
  </si>
  <si>
    <t>[PLN mln, %]</t>
  </si>
  <si>
    <t>Assets</t>
  </si>
  <si>
    <t>Liabilities</t>
  </si>
  <si>
    <t>Fixed assets</t>
  </si>
  <si>
    <t>Tangible fixed assets</t>
  </si>
  <si>
    <t>Intangible assets</t>
  </si>
  <si>
    <t>Deffered tax assets</t>
  </si>
  <si>
    <t>Long-term receivables</t>
  </si>
  <si>
    <t>Current assets</t>
  </si>
  <si>
    <t>Inventory</t>
  </si>
  <si>
    <t>Trade receivables</t>
  </si>
  <si>
    <t>Remaining receivables</t>
  </si>
  <si>
    <t>Accruals</t>
  </si>
  <si>
    <t>Cash and cash equivalents</t>
  </si>
  <si>
    <t>Total assets</t>
  </si>
  <si>
    <t>Equity</t>
  </si>
  <si>
    <t>Minority interests</t>
  </si>
  <si>
    <t>Long-term liabilities</t>
  </si>
  <si>
    <t>Long-term loans and credits</t>
  </si>
  <si>
    <t>Remaining long-term liabilities</t>
  </si>
  <si>
    <t>Long-term accruals and deferred income</t>
  </si>
  <si>
    <t>Short-term liabilities</t>
  </si>
  <si>
    <t>Short-term loans and credits</t>
  </si>
  <si>
    <t>Remaining short-term liabilities</t>
  </si>
  <si>
    <t>Short-term trade liabilities</t>
  </si>
  <si>
    <t>Remaining short-term provisions</t>
  </si>
  <si>
    <t>Total liabilities</t>
  </si>
  <si>
    <t>Accounting value per 1 share  (PLN)</t>
  </si>
  <si>
    <t>[PLN million, %]</t>
  </si>
  <si>
    <t>Operational activity</t>
  </si>
  <si>
    <t>Investment activity</t>
  </si>
  <si>
    <t>Financial activity</t>
  </si>
  <si>
    <t>Cash</t>
  </si>
  <si>
    <t>Total corrections</t>
  </si>
  <si>
    <t>Amortisation</t>
  </si>
  <si>
    <t>Profits from difference in currency exchange rates</t>
  </si>
  <si>
    <t>Interest and dividents</t>
  </si>
  <si>
    <t>Reserve fluctuation</t>
  </si>
  <si>
    <t>Inventory fluctuation</t>
  </si>
  <si>
    <t>Receivables fluctuation</t>
  </si>
  <si>
    <t xml:space="preserve">Short-term liabilities fluctuation except for loans and credits </t>
  </si>
  <si>
    <t>Fluctuation between reconciliation terms</t>
  </si>
  <si>
    <t xml:space="preserve">Net cash-flow from operations </t>
  </si>
  <si>
    <t>Incomes</t>
  </si>
  <si>
    <t>Disposal of intangible assets and property, plant and equipment</t>
  </si>
  <si>
    <t>Expenditure</t>
  </si>
  <si>
    <t>Acquiring intangible, legal instruments and material assets</t>
  </si>
  <si>
    <t xml:space="preserve">Net cash-flow from investment activities </t>
  </si>
  <si>
    <t>Expenses</t>
  </si>
  <si>
    <t>Net cash-flow from financial activities</t>
  </si>
  <si>
    <t>Total net cash assets</t>
  </si>
  <si>
    <t>Cash assets at the end of the period</t>
  </si>
  <si>
    <t>Cash assets at beginning of the period</t>
  </si>
  <si>
    <t>Profit from investments</t>
  </si>
  <si>
    <t>Income</t>
  </si>
  <si>
    <t>Revenues</t>
  </si>
  <si>
    <t>Servicing credits and loans</t>
  </si>
  <si>
    <t xml:space="preserve">Liabilities related to lease and other contracts </t>
  </si>
  <si>
    <t>Interest</t>
  </si>
  <si>
    <t xml:space="preserve">Net cash-flow from financial activities </t>
  </si>
  <si>
    <t>Cash assets at beginnig of period</t>
  </si>
  <si>
    <t>Cash assets at the end of period</t>
  </si>
  <si>
    <t>IT hardware and software</t>
  </si>
  <si>
    <t>Vehicles and trolleys</t>
  </si>
  <si>
    <t>Specialised machinery and equipment</t>
  </si>
  <si>
    <t xml:space="preserve">Value of improvement projects </t>
  </si>
  <si>
    <t>Equipment</t>
  </si>
  <si>
    <t>Total investments</t>
  </si>
  <si>
    <t>Employees</t>
  </si>
  <si>
    <t>[number of people, %]</t>
  </si>
  <si>
    <t>Number of employee in the capital group</t>
  </si>
  <si>
    <t>Employment stats by education</t>
  </si>
  <si>
    <t>Higher education</t>
  </si>
  <si>
    <t>High-school graduates</t>
  </si>
  <si>
    <t>Vocational education</t>
  </si>
  <si>
    <t>Primary level education</t>
  </si>
  <si>
    <t>Employees stats by gender</t>
  </si>
  <si>
    <t>Men</t>
  </si>
  <si>
    <t>Women</t>
  </si>
  <si>
    <t>Status on: 31.12.2020.</t>
  </si>
  <si>
    <t>Number of votes</t>
  </si>
  <si>
    <t>% share of capital and votes</t>
  </si>
  <si>
    <t>Funds managed by OPERA TFI</t>
  </si>
  <si>
    <t>Remaining shareholders</t>
  </si>
  <si>
    <t>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</si>
</sst>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 _z_ł_-;\-* #,##0.00\ _z_ł_-;_-* &quot;-&quot;??\ _z_ł_-;_-@_-"/>
    <numFmt numFmtId="165" formatCode="0.0%"/>
    <numFmt numFmtId="166" formatCode="0.0000"/>
  </numFmts>
  <fonts count="22" x14ac:knownFonts="1">
    <font>
      <sz val="12"/>
      <color theme="1"/>
      <name val="Arial"/>
      <family val="2"/>
      <scheme val="minor"/>
    </font>
    <font>
      <sz val="12"/>
      <color theme="1"/>
      <name val="Arial"/>
      <family val="2"/>
      <scheme val="minor"/>
    </font>
    <font>
      <sz val="12"/>
      <color theme="1"/>
      <name val="Arial"/>
      <family val="2"/>
      <scheme val="minor"/>
    </font>
    <font>
      <sz val="12"/>
      <color theme="1"/>
      <name val="Arial"/>
      <family val="2"/>
      <scheme val="minor"/>
    </font>
    <font>
      <u/>
      <sz val="12"/>
      <color theme="10"/>
      <name val="Arial"/>
      <family val="2"/>
      <scheme val="minor"/>
    </font>
    <font>
      <u/>
      <sz val="12"/>
      <color theme="11"/>
      <name val="Arial"/>
      <family val="2"/>
      <scheme val="minor"/>
    </font>
    <font>
      <b/>
      <sz val="12"/>
      <color theme="0"/>
      <name val="Arial"/>
      <family val="2"/>
      <scheme val="minor"/>
    </font>
    <font>
      <b/>
      <sz val="12"/>
      <color theme="1"/>
      <name val="Arial"/>
      <family val="2"/>
      <scheme val="minor"/>
    </font>
    <font>
      <i/>
      <sz val="12"/>
      <color theme="1"/>
      <name val="Arial"/>
      <family val="2"/>
      <scheme val="minor"/>
    </font>
    <font>
      <sz val="12"/>
      <color theme="3"/>
      <name val="Arial"/>
      <family val="2"/>
      <scheme val="minor"/>
    </font>
    <font>
      <sz val="12"/>
      <color theme="3"/>
      <name val="Arial"/>
      <family val="2"/>
    </font>
    <font>
      <b/>
      <sz val="12"/>
      <color theme="1"/>
      <name val="Arial"/>
      <family val="2"/>
    </font>
    <font>
      <sz val="12"/>
      <color theme="1"/>
      <name val="Arial"/>
      <family val="2"/>
    </font>
    <font>
      <sz val="12"/>
      <color rgb="FF000000"/>
      <name val="Arial"/>
      <family val="2"/>
      <scheme val="minor"/>
    </font>
    <font>
      <b/>
      <sz val="12"/>
      <name val="Arial"/>
      <family val="2"/>
      <scheme val="minor"/>
    </font>
    <font>
      <sz val="12"/>
      <name val="Arial"/>
      <family val="2"/>
      <scheme val="minor"/>
    </font>
    <font>
      <sz val="12"/>
      <color rgb="FF0070C0"/>
      <name val="Arial"/>
      <family val="2"/>
      <scheme val="minor"/>
    </font>
    <font>
      <i/>
      <sz val="12"/>
      <color theme="1"/>
      <name val="Arial"/>
      <family val="2"/>
      <charset val="238"/>
      <scheme val="minor"/>
    </font>
    <font>
      <i/>
      <sz val="12"/>
      <name val="Arial"/>
      <family val="2"/>
      <scheme val="minor"/>
    </font>
    <font>
      <sz val="12"/>
      <name val="Arial"/>
      <family val="2"/>
      <charset val="238"/>
      <scheme val="minor"/>
    </font>
    <font>
      <b/>
      <sz val="12"/>
      <name val="Arial"/>
      <family val="2"/>
      <charset val="238"/>
      <scheme val="minor"/>
    </font>
    <font>
      <b/>
      <sz val="12"/>
      <color theme="1"/>
      <name val="Arial"/>
      <family val="2"/>
      <charset val="238"/>
      <scheme val="minor"/>
    </font>
  </fonts>
  <fills count="4">
    <fill>
      <patternFill patternType="none"/>
    </fill>
    <fill>
      <patternFill patternType="gray125"/>
    </fill>
    <fill>
      <patternFill patternType="solid">
        <fgColor theme="4" tint="0.79998168889431442"/>
        <bgColor indexed="64"/>
      </patternFill>
    </fill>
    <fill>
      <patternFill patternType="solid">
        <fgColor theme="4"/>
        <bgColor indexed="64"/>
      </patternFill>
    </fill>
  </fills>
  <borders count="2">
    <border>
      <left/>
      <right/>
      <top/>
      <bottom/>
      <diagonal/>
    </border>
    <border>
      <left/>
      <right/>
      <top/>
      <bottom style="thin">
        <color indexed="64"/>
      </bottom>
      <diagonal/>
    </border>
  </borders>
  <cellStyleXfs count="387">
    <xf numFmtId="0" fontId="0" fillId="0" borderId="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9" fontId="3" fillId="0" borderId="0" applyFon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9" fontId="2" fillId="0" borderId="0" applyFon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1" fillId="0" borderId="0"/>
    <xf numFmtId="164"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90">
    <xf numFmtId="0" fontId="0" fillId="0" borderId="0" xfId="0"/>
    <xf numFmtId="2" fontId="0" fillId="0" borderId="0" xfId="0" applyNumberFormat="1" applyFont="1"/>
    <xf numFmtId="165" fontId="8" fillId="0" borderId="0" xfId="27" applyNumberFormat="1" applyFont="1"/>
    <xf numFmtId="165" fontId="0" fillId="0" borderId="0" xfId="27" applyNumberFormat="1" applyFont="1"/>
    <xf numFmtId="2" fontId="7" fillId="0" borderId="0" xfId="0" applyNumberFormat="1" applyFont="1"/>
    <xf numFmtId="165" fontId="7" fillId="0" borderId="0" xfId="27" applyNumberFormat="1" applyFont="1"/>
    <xf numFmtId="2" fontId="9" fillId="0" borderId="0" xfId="0" applyNumberFormat="1" applyFont="1"/>
    <xf numFmtId="2" fontId="7" fillId="2" borderId="0" xfId="0" applyNumberFormat="1" applyFont="1" applyFill="1"/>
    <xf numFmtId="2" fontId="0" fillId="2" borderId="0" xfId="0" applyNumberFormat="1" applyFont="1" applyFill="1"/>
    <xf numFmtId="165" fontId="8" fillId="2" borderId="0" xfId="27" applyNumberFormat="1" applyFont="1" applyFill="1"/>
    <xf numFmtId="2" fontId="0" fillId="0" borderId="0" xfId="0" applyNumberFormat="1"/>
    <xf numFmtId="2" fontId="6" fillId="3" borderId="0" xfId="0" applyNumberFormat="1" applyFont="1" applyFill="1"/>
    <xf numFmtId="165" fontId="6" fillId="3" borderId="0" xfId="27" applyNumberFormat="1" applyFont="1" applyFill="1"/>
    <xf numFmtId="2" fontId="0" fillId="2" borderId="0" xfId="0" applyNumberFormat="1" applyFill="1"/>
    <xf numFmtId="165" fontId="2" fillId="0" borderId="0" xfId="27" applyNumberFormat="1" applyFont="1"/>
    <xf numFmtId="0" fontId="10" fillId="0" borderId="0" xfId="0" applyFont="1"/>
    <xf numFmtId="0" fontId="11" fillId="0" borderId="0" xfId="0" applyFont="1"/>
    <xf numFmtId="0" fontId="12" fillId="0" borderId="0" xfId="0" applyFont="1"/>
    <xf numFmtId="0" fontId="12" fillId="2" borderId="0" xfId="0" applyFont="1" applyFill="1"/>
    <xf numFmtId="3" fontId="0" fillId="0" borderId="0" xfId="0" applyNumberFormat="1"/>
    <xf numFmtId="0" fontId="7" fillId="0" borderId="0" xfId="0" applyFont="1"/>
    <xf numFmtId="3" fontId="7" fillId="0" borderId="0" xfId="0" applyNumberFormat="1" applyFont="1"/>
    <xf numFmtId="0" fontId="9" fillId="0" borderId="0" xfId="0" applyFont="1"/>
    <xf numFmtId="0" fontId="4" fillId="0" borderId="0" xfId="211"/>
    <xf numFmtId="0" fontId="0" fillId="0" borderId="0" xfId="0" applyAlignment="1">
      <alignment horizontal="right"/>
    </xf>
    <xf numFmtId="4" fontId="1" fillId="2" borderId="0" xfId="27" applyNumberFormat="1" applyFont="1" applyFill="1"/>
    <xf numFmtId="9" fontId="13" fillId="0" borderId="0" xfId="27" applyFont="1" applyAlignment="1">
      <alignment horizontal="left" vertical="center"/>
    </xf>
    <xf numFmtId="9" fontId="12" fillId="0" borderId="0" xfId="27" applyFont="1"/>
    <xf numFmtId="9" fontId="13" fillId="0" borderId="0" xfId="27" applyFont="1" applyAlignment="1">
      <alignment horizontal="left"/>
    </xf>
    <xf numFmtId="2" fontId="7" fillId="0" borderId="0" xfId="0" applyNumberFormat="1" applyFont="1" applyFill="1"/>
    <xf numFmtId="2" fontId="0" fillId="0" borderId="0" xfId="0" applyNumberFormat="1" applyFont="1" applyFill="1"/>
    <xf numFmtId="165" fontId="8" fillId="0" borderId="0" xfId="27" applyNumberFormat="1" applyFont="1" applyFill="1"/>
    <xf numFmtId="2" fontId="0" fillId="0" borderId="0" xfId="0" applyNumberFormat="1" applyFill="1"/>
    <xf numFmtId="1" fontId="7" fillId="0" borderId="0" xfId="0" applyNumberFormat="1" applyFont="1" applyFill="1"/>
    <xf numFmtId="2" fontId="14" fillId="0" borderId="0" xfId="0" applyNumberFormat="1" applyFont="1"/>
    <xf numFmtId="2" fontId="14" fillId="0" borderId="0" xfId="0" applyNumberFormat="1" applyFont="1" applyFill="1"/>
    <xf numFmtId="4" fontId="7" fillId="2" borderId="0" xfId="27" applyNumberFormat="1" applyFont="1" applyFill="1"/>
    <xf numFmtId="2" fontId="15" fillId="2" borderId="0" xfId="0" applyNumberFormat="1" applyFont="1" applyFill="1"/>
    <xf numFmtId="2" fontId="15" fillId="0" borderId="0" xfId="0" applyNumberFormat="1" applyFont="1" applyFill="1"/>
    <xf numFmtId="2" fontId="0" fillId="0" borderId="0" xfId="0" quotePrefix="1" applyNumberFormat="1" applyFont="1" applyFill="1"/>
    <xf numFmtId="166" fontId="0" fillId="0" borderId="0" xfId="0" applyNumberFormat="1" applyFill="1"/>
    <xf numFmtId="164" fontId="0" fillId="0" borderId="0" xfId="384" applyFont="1" applyFill="1"/>
    <xf numFmtId="2" fontId="16" fillId="0" borderId="0" xfId="0" applyNumberFormat="1" applyFont="1"/>
    <xf numFmtId="0" fontId="0" fillId="0" borderId="0" xfId="27" applyNumberFormat="1" applyFont="1"/>
    <xf numFmtId="2" fontId="14" fillId="3" borderId="0" xfId="0" applyNumberFormat="1" applyFont="1" applyFill="1"/>
    <xf numFmtId="2" fontId="14" fillId="2" borderId="0" xfId="0" applyNumberFormat="1" applyFont="1" applyFill="1"/>
    <xf numFmtId="165" fontId="17" fillId="0" borderId="0" xfId="27" applyNumberFormat="1" applyFont="1" applyFill="1"/>
    <xf numFmtId="165" fontId="17" fillId="2" borderId="0" xfId="27" applyNumberFormat="1" applyFont="1" applyFill="1"/>
    <xf numFmtId="165" fontId="0" fillId="0" borderId="0" xfId="27" applyNumberFormat="1" applyFont="1" applyFill="1"/>
    <xf numFmtId="1" fontId="7" fillId="2" borderId="0" xfId="0" applyNumberFormat="1" applyFont="1" applyFill="1" applyAlignment="1">
      <alignment horizontal="right"/>
    </xf>
    <xf numFmtId="165" fontId="14" fillId="0" borderId="0" xfId="27" applyNumberFormat="1" applyFont="1" applyFill="1"/>
    <xf numFmtId="165" fontId="15" fillId="0" borderId="0" xfId="27" applyNumberFormat="1" applyFont="1" applyFill="1"/>
    <xf numFmtId="165" fontId="14" fillId="0" borderId="0" xfId="27" applyNumberFormat="1" applyFont="1"/>
    <xf numFmtId="1" fontId="14" fillId="0" borderId="0" xfId="0" applyNumberFormat="1" applyFont="1" applyFill="1" applyAlignment="1">
      <alignment horizontal="right"/>
    </xf>
    <xf numFmtId="2" fontId="0" fillId="0" borderId="0" xfId="27" applyNumberFormat="1" applyFont="1"/>
    <xf numFmtId="2" fontId="6" fillId="3" borderId="0" xfId="0" applyNumberFormat="1" applyFont="1" applyFill="1"/>
    <xf numFmtId="0" fontId="11" fillId="2" borderId="0" xfId="0" applyFont="1" applyFill="1"/>
    <xf numFmtId="0" fontId="12" fillId="2" borderId="0" xfId="0" applyFont="1" applyFill="1"/>
    <xf numFmtId="9" fontId="12" fillId="2" borderId="0" xfId="385" applyFont="1" applyFill="1"/>
    <xf numFmtId="2" fontId="15" fillId="0" borderId="0" xfId="0" applyNumberFormat="1" applyFont="1"/>
    <xf numFmtId="165" fontId="15" fillId="0" borderId="0" xfId="27" applyNumberFormat="1" applyFont="1"/>
    <xf numFmtId="165" fontId="18" fillId="0" borderId="0" xfId="27" applyNumberFormat="1" applyFont="1"/>
    <xf numFmtId="165" fontId="18" fillId="0" borderId="0" xfId="27" applyNumberFormat="1" applyFont="1" applyFill="1"/>
    <xf numFmtId="165" fontId="18" fillId="2" borderId="0" xfId="27" applyNumberFormat="1" applyFont="1" applyFill="1"/>
    <xf numFmtId="165" fontId="18" fillId="0" borderId="0" xfId="27" applyNumberFormat="1" applyFont="1" applyBorder="1"/>
    <xf numFmtId="165" fontId="18" fillId="0" borderId="0" xfId="27" applyNumberFormat="1" applyFont="1" applyFill="1" applyBorder="1"/>
    <xf numFmtId="2" fontId="15" fillId="0" borderId="0" xfId="0" applyNumberFormat="1" applyFont="1" applyBorder="1"/>
    <xf numFmtId="2" fontId="15" fillId="0" borderId="0" xfId="0" applyNumberFormat="1" applyFont="1" applyFill="1" applyBorder="1"/>
    <xf numFmtId="2" fontId="15" fillId="0" borderId="1" xfId="0" applyNumberFormat="1" applyFont="1" applyBorder="1"/>
    <xf numFmtId="2" fontId="15" fillId="0" borderId="1" xfId="0" applyNumberFormat="1" applyFont="1" applyFill="1" applyBorder="1"/>
    <xf numFmtId="2" fontId="15" fillId="2" borderId="1" xfId="0" applyNumberFormat="1" applyFont="1" applyFill="1" applyBorder="1"/>
    <xf numFmtId="165" fontId="15" fillId="0" borderId="1" xfId="27" applyNumberFormat="1" applyFont="1" applyBorder="1"/>
    <xf numFmtId="49" fontId="14" fillId="0" borderId="0" xfId="0" applyNumberFormat="1" applyFont="1" applyFill="1"/>
    <xf numFmtId="49" fontId="14" fillId="2" borderId="0" xfId="0" applyNumberFormat="1" applyFont="1" applyFill="1"/>
    <xf numFmtId="4" fontId="1" fillId="2" borderId="0" xfId="386" applyNumberFormat="1" applyFont="1" applyFill="1"/>
    <xf numFmtId="4" fontId="7" fillId="2" borderId="0" xfId="386" applyNumberFormat="1" applyFont="1" applyFill="1"/>
    <xf numFmtId="2" fontId="19" fillId="2" borderId="0" xfId="0" applyNumberFormat="1" applyFont="1" applyFill="1"/>
    <xf numFmtId="2" fontId="20" fillId="2" borderId="0" xfId="0" applyNumberFormat="1" applyFont="1" applyFill="1"/>
    <xf numFmtId="164" fontId="0" fillId="0" borderId="0" xfId="384" applyFont="1"/>
    <xf numFmtId="9" fontId="12" fillId="2" borderId="0" xfId="386" applyFont="1" applyFill="1"/>
    <xf numFmtId="2" fontId="20" fillId="0" borderId="0" xfId="0" applyNumberFormat="1" applyFont="1" applyFill="1"/>
    <xf numFmtId="165" fontId="8" fillId="2" borderId="0" xfId="27" applyNumberFormat="1" applyFont="1" applyFill="1" applyBorder="1"/>
    <xf numFmtId="2" fontId="19" fillId="0" borderId="0" xfId="0" applyNumberFormat="1" applyFont="1" applyFill="1"/>
    <xf numFmtId="165" fontId="8" fillId="0" borderId="0" xfId="27" applyNumberFormat="1" applyFont="1" applyFill="1" applyBorder="1"/>
    <xf numFmtId="1" fontId="7" fillId="0" borderId="0" xfId="0" applyNumberFormat="1" applyFont="1" applyFill="1" applyAlignment="1">
      <alignment horizontal="right"/>
    </xf>
    <xf numFmtId="4" fontId="1" fillId="0" borderId="0" xfId="386" applyNumberFormat="1" applyFont="1" applyFill="1"/>
    <xf numFmtId="4" fontId="7" fillId="0" borderId="0" xfId="386" applyNumberFormat="1" applyFont="1" applyFill="1"/>
    <xf numFmtId="2" fontId="21" fillId="2" borderId="0" xfId="0" applyNumberFormat="1" applyFont="1" applyFill="1"/>
    <xf numFmtId="2" fontId="15" fillId="0" borderId="0" xfId="0" applyNumberFormat="1" applyFont="1" applyBorder="1" applyAlignment="1">
      <alignment horizontal="left"/>
    </xf>
    <xf numFmtId="165" fontId="8" fillId="0" borderId="0" xfId="386" applyNumberFormat="1" applyFont="1"/>
  </cellXfs>
  <cellStyles count="387">
    <cellStyle name="Dziesiętny" xfId="384" builtinId="3"/>
    <cellStyle name="Hiperłącze" xfId="1" builtinId="8" hidden="1"/>
    <cellStyle name="Hiperłącze" xfId="3" builtinId="8" hidden="1"/>
    <cellStyle name="Hiperłącze" xfId="5" builtinId="8" hidden="1"/>
    <cellStyle name="Hiperłącze" xfId="7" builtinId="8" hidden="1"/>
    <cellStyle name="Hiperłącze" xfId="9" builtinId="8" hidden="1"/>
    <cellStyle name="Hiperłącze" xfId="11" builtinId="8" hidden="1"/>
    <cellStyle name="Hiperłącze" xfId="13" builtinId="8" hidden="1"/>
    <cellStyle name="Hiperłącze" xfId="15" builtinId="8" hidden="1"/>
    <cellStyle name="Hiperłącze" xfId="17" builtinId="8" hidden="1"/>
    <cellStyle name="Hiperłącze" xfId="19" builtinId="8" hidden="1"/>
    <cellStyle name="Hiperłącze" xfId="21" builtinId="8" hidden="1"/>
    <cellStyle name="Hiperłącze" xfId="23" builtinId="8" hidden="1"/>
    <cellStyle name="Hiperłącze" xfId="25" builtinId="8" hidden="1"/>
    <cellStyle name="Hiperłącze" xfId="28" builtinId="8" hidden="1"/>
    <cellStyle name="Hiperłącze" xfId="30" builtinId="8" hidden="1"/>
    <cellStyle name="Hiperłącze" xfId="32" builtinId="8" hidden="1"/>
    <cellStyle name="Hiperłącze" xfId="34" builtinId="8" hidden="1"/>
    <cellStyle name="Hiperłącze" xfId="36" builtinId="8" hidden="1"/>
    <cellStyle name="Hiperłącze" xfId="38" builtinId="8" hidden="1"/>
    <cellStyle name="Hiperłącze" xfId="40" builtinId="8" hidden="1"/>
    <cellStyle name="Hiperłącze" xfId="42" builtinId="8" hidden="1"/>
    <cellStyle name="Hiperłącze" xfId="44" builtinId="8" hidden="1"/>
    <cellStyle name="Hiperłącze" xfId="46" builtinId="8" hidden="1"/>
    <cellStyle name="Hiperłącze" xfId="48" builtinId="8" hidden="1"/>
    <cellStyle name="Hiperłącze" xfId="50" builtinId="8" hidden="1"/>
    <cellStyle name="Hiperłącze" xfId="52" builtinId="8" hidden="1"/>
    <cellStyle name="Hiperłącze" xfId="54" builtinId="8" hidden="1"/>
    <cellStyle name="Hiperłącze" xfId="56" builtinId="8" hidden="1"/>
    <cellStyle name="Hiperłącze" xfId="58" builtinId="8" hidden="1"/>
    <cellStyle name="Hiperłącze" xfId="60" builtinId="8" hidden="1"/>
    <cellStyle name="Hiperłącze" xfId="62" builtinId="8" hidden="1"/>
    <cellStyle name="Hiperłącze" xfId="64" builtinId="8" hidden="1"/>
    <cellStyle name="Hiperłącze" xfId="66" builtinId="8" hidden="1"/>
    <cellStyle name="Hiperłącze" xfId="68" builtinId="8" hidden="1"/>
    <cellStyle name="Hiperłącze" xfId="70" builtinId="8" hidden="1"/>
    <cellStyle name="Hiperłącze" xfId="72" builtinId="8" hidden="1"/>
    <cellStyle name="Hiperłącze" xfId="74" builtinId="8" hidden="1"/>
    <cellStyle name="Hiperłącze" xfId="76" builtinId="8" hidden="1"/>
    <cellStyle name="Hiperłącze" xfId="78" builtinId="8" hidden="1"/>
    <cellStyle name="Hiperłącze" xfId="80" builtinId="8" hidden="1"/>
    <cellStyle name="Hiperłącze" xfId="82" builtinId="8" hidden="1"/>
    <cellStyle name="Hiperłącze" xfId="84" builtinId="8" hidden="1"/>
    <cellStyle name="Hiperłącze" xfId="86" builtinId="8" hidden="1"/>
    <cellStyle name="Hiperłącze" xfId="88" builtinId="8" hidden="1"/>
    <cellStyle name="Hiperłącze" xfId="90" builtinId="8" hidden="1"/>
    <cellStyle name="Hiperłącze" xfId="92" builtinId="8" hidden="1"/>
    <cellStyle name="Hiperłącze" xfId="94" builtinId="8" hidden="1"/>
    <cellStyle name="Hiperłącze" xfId="96" builtinId="8" hidden="1"/>
    <cellStyle name="Hiperłącze" xfId="98" builtinId="8" hidden="1"/>
    <cellStyle name="Hiperłącze" xfId="100" builtinId="8" hidden="1"/>
    <cellStyle name="Hiperłącze" xfId="102" builtinId="8" hidden="1"/>
    <cellStyle name="Hiperłącze" xfId="104" builtinId="8" hidden="1"/>
    <cellStyle name="Hiperłącze" xfId="106" builtinId="8" hidden="1"/>
    <cellStyle name="Hiperłącze" xfId="108" builtinId="8" hidden="1"/>
    <cellStyle name="Hiperłącze" xfId="110" builtinId="8" hidden="1"/>
    <cellStyle name="Hiperłącze" xfId="112" builtinId="8" hidden="1"/>
    <cellStyle name="Hiperłącze" xfId="114" builtinId="8" hidden="1"/>
    <cellStyle name="Hiperłącze" xfId="116" builtinId="8" hidden="1"/>
    <cellStyle name="Hiperłącze" xfId="118" builtinId="8" hidden="1"/>
    <cellStyle name="Hiperłącze" xfId="120" builtinId="8" hidden="1"/>
    <cellStyle name="Hiperłącze" xfId="122" builtinId="8" hidden="1"/>
    <cellStyle name="Hiperłącze" xfId="124" builtinId="8" hidden="1"/>
    <cellStyle name="Hiperłącze" xfId="126" builtinId="8" hidden="1"/>
    <cellStyle name="Hiperłącze" xfId="128" builtinId="8" hidden="1"/>
    <cellStyle name="Hiperłącze" xfId="130" builtinId="8" hidden="1"/>
    <cellStyle name="Hiperłącze" xfId="132" builtinId="8" hidden="1"/>
    <cellStyle name="Hiperłącze" xfId="134" builtinId="8" hidden="1"/>
    <cellStyle name="Hiperłącze" xfId="136" builtinId="8" hidden="1"/>
    <cellStyle name="Hiperłącze" xfId="138" builtinId="8" hidden="1"/>
    <cellStyle name="Hiperłącze" xfId="140" builtinId="8" hidden="1"/>
    <cellStyle name="Hiperłącze" xfId="142" builtinId="8" hidden="1"/>
    <cellStyle name="Hiperłącze" xfId="144" builtinId="8" hidden="1"/>
    <cellStyle name="Hiperłącze" xfId="146" builtinId="8" hidden="1"/>
    <cellStyle name="Hiperłącze" xfId="149" builtinId="8" hidden="1"/>
    <cellStyle name="Hiperłącze" xfId="151" builtinId="8" hidden="1"/>
    <cellStyle name="Hiperłącze" xfId="153" builtinId="8" hidden="1"/>
    <cellStyle name="Hiperłącze" xfId="155" builtinId="8" hidden="1"/>
    <cellStyle name="Hiperłącze" xfId="157" builtinId="8" hidden="1"/>
    <cellStyle name="Hiperłącze" xfId="159" builtinId="8" hidden="1"/>
    <cellStyle name="Hiperłącze" xfId="161" builtinId="8" hidden="1"/>
    <cellStyle name="Hiperłącze" xfId="163" builtinId="8" hidden="1"/>
    <cellStyle name="Hiperłącze" xfId="165" builtinId="8" hidden="1"/>
    <cellStyle name="Hiperłącze" xfId="167" builtinId="8" hidden="1"/>
    <cellStyle name="Hiperłącze" xfId="169" builtinId="8" hidden="1"/>
    <cellStyle name="Hiperłącze" xfId="171" builtinId="8" hidden="1"/>
    <cellStyle name="Hiperłącze" xfId="173" builtinId="8" hidden="1"/>
    <cellStyle name="Hiperłącze" xfId="175" builtinId="8" hidden="1"/>
    <cellStyle name="Hiperłącze" xfId="177" builtinId="8" hidden="1"/>
    <cellStyle name="Hiperłącze" xfId="179" builtinId="8" hidden="1"/>
    <cellStyle name="Hiperłącze" xfId="181" builtinId="8" hidden="1"/>
    <cellStyle name="Hiperłącze" xfId="183" builtinId="8" hidden="1"/>
    <cellStyle name="Hiperłącze" xfId="185" builtinId="8" hidden="1"/>
    <cellStyle name="Hiperłącze" xfId="187" builtinId="8" hidden="1"/>
    <cellStyle name="Hiperłącze" xfId="189" builtinId="8" hidden="1"/>
    <cellStyle name="Hiperłącze" xfId="191" builtinId="8" hidden="1"/>
    <cellStyle name="Hiperłącze" xfId="193" builtinId="8" hidden="1"/>
    <cellStyle name="Hiperłącze" xfId="195" builtinId="8" hidden="1"/>
    <cellStyle name="Hiperłącze" xfId="197" builtinId="8" hidden="1"/>
    <cellStyle name="Hiperłącze" xfId="199" builtinId="8" hidden="1"/>
    <cellStyle name="Hiperłącze" xfId="201" builtinId="8" hidden="1"/>
    <cellStyle name="Hiperłącze" xfId="203" builtinId="8" hidden="1"/>
    <cellStyle name="Hiperłącze" xfId="205" builtinId="8" hidden="1"/>
    <cellStyle name="Hiperłącze" xfId="207" builtinId="8" hidden="1"/>
    <cellStyle name="Hiperłącze" xfId="209" builtinId="8" hidden="1"/>
    <cellStyle name="Hiperłącze" xfId="211" builtinId="8"/>
    <cellStyle name="Normalny" xfId="0" builtinId="0"/>
    <cellStyle name="Normalny 2" xfId="383" xr:uid="{00000000-0005-0000-0000-00006A000000}"/>
    <cellStyle name="Odwiedzone hiperłącze" xfId="2" builtinId="9" hidden="1"/>
    <cellStyle name="Odwiedzone hiperłącze" xfId="4" builtinId="9" hidden="1"/>
    <cellStyle name="Odwiedzone hiperłącze" xfId="6" builtinId="9" hidden="1"/>
    <cellStyle name="Odwiedzone hiperłącze" xfId="8" builtinId="9" hidden="1"/>
    <cellStyle name="Odwiedzone hiperłącze" xfId="10" builtinId="9" hidden="1"/>
    <cellStyle name="Odwiedzone hiperłącze" xfId="12" builtinId="9" hidden="1"/>
    <cellStyle name="Odwiedzone hiperłącze" xfId="14" builtinId="9" hidden="1"/>
    <cellStyle name="Odwiedzone hiperłącze" xfId="16" builtinId="9" hidden="1"/>
    <cellStyle name="Odwiedzone hiperłącze" xfId="18" builtinId="9" hidden="1"/>
    <cellStyle name="Odwiedzone hiperłącze" xfId="20" builtinId="9" hidden="1"/>
    <cellStyle name="Odwiedzone hiperłącze" xfId="22" builtinId="9" hidden="1"/>
    <cellStyle name="Odwiedzone hiperłącze" xfId="24" builtinId="9" hidden="1"/>
    <cellStyle name="Odwiedzone hiperłącze" xfId="26" builtinId="9" hidden="1"/>
    <cellStyle name="Odwiedzone hiperłącze" xfId="29" builtinId="9" hidden="1"/>
    <cellStyle name="Odwiedzone hiperłącze" xfId="31" builtinId="9" hidden="1"/>
    <cellStyle name="Odwiedzone hiperłącze" xfId="33" builtinId="9" hidden="1"/>
    <cellStyle name="Odwiedzone hiperłącze" xfId="35" builtinId="9" hidden="1"/>
    <cellStyle name="Odwiedzone hiperłącze" xfId="37" builtinId="9" hidden="1"/>
    <cellStyle name="Odwiedzone hiperłącze" xfId="39" builtinId="9" hidden="1"/>
    <cellStyle name="Odwiedzone hiperłącze" xfId="41" builtinId="9" hidden="1"/>
    <cellStyle name="Odwiedzone hiperłącze" xfId="43" builtinId="9" hidden="1"/>
    <cellStyle name="Odwiedzone hiperłącze" xfId="45" builtinId="9" hidden="1"/>
    <cellStyle name="Odwiedzone hiperłącze" xfId="47" builtinId="9" hidden="1"/>
    <cellStyle name="Odwiedzone hiperłącze" xfId="49" builtinId="9" hidden="1"/>
    <cellStyle name="Odwiedzone hiperłącze" xfId="51" builtinId="9" hidden="1"/>
    <cellStyle name="Odwiedzone hiperłącze" xfId="53" builtinId="9" hidden="1"/>
    <cellStyle name="Odwiedzone hiperłącze" xfId="55" builtinId="9" hidden="1"/>
    <cellStyle name="Odwiedzone hiperłącze" xfId="57" builtinId="9" hidden="1"/>
    <cellStyle name="Odwiedzone hiperłącze" xfId="59" builtinId="9" hidden="1"/>
    <cellStyle name="Odwiedzone hiperłącze" xfId="61" builtinId="9" hidden="1"/>
    <cellStyle name="Odwiedzone hiperłącze" xfId="63" builtinId="9" hidden="1"/>
    <cellStyle name="Odwiedzone hiperłącze" xfId="65" builtinId="9" hidden="1"/>
    <cellStyle name="Odwiedzone hiperłącze" xfId="67" builtinId="9" hidden="1"/>
    <cellStyle name="Odwiedzone hiperłącze" xfId="69" builtinId="9" hidden="1"/>
    <cellStyle name="Odwiedzone hiperłącze" xfId="71" builtinId="9" hidden="1"/>
    <cellStyle name="Odwiedzone hiperłącze" xfId="73" builtinId="9" hidden="1"/>
    <cellStyle name="Odwiedzone hiperłącze" xfId="75" builtinId="9" hidden="1"/>
    <cellStyle name="Odwiedzone hiperłącze" xfId="77" builtinId="9" hidden="1"/>
    <cellStyle name="Odwiedzone hiperłącze" xfId="79" builtinId="9" hidden="1"/>
    <cellStyle name="Odwiedzone hiperłącze" xfId="81" builtinId="9" hidden="1"/>
    <cellStyle name="Odwiedzone hiperłącze" xfId="83" builtinId="9" hidden="1"/>
    <cellStyle name="Odwiedzone hiperłącze" xfId="85" builtinId="9" hidden="1"/>
    <cellStyle name="Odwiedzone hiperłącze" xfId="87" builtinId="9" hidden="1"/>
    <cellStyle name="Odwiedzone hiperłącze" xfId="89" builtinId="9" hidden="1"/>
    <cellStyle name="Odwiedzone hiperłącze" xfId="91" builtinId="9" hidden="1"/>
    <cellStyle name="Odwiedzone hiperłącze" xfId="93" builtinId="9" hidden="1"/>
    <cellStyle name="Odwiedzone hiperłącze" xfId="95" builtinId="9" hidden="1"/>
    <cellStyle name="Odwiedzone hiperłącze" xfId="97" builtinId="9" hidden="1"/>
    <cellStyle name="Odwiedzone hiperłącze" xfId="99" builtinId="9" hidden="1"/>
    <cellStyle name="Odwiedzone hiperłącze" xfId="101" builtinId="9" hidden="1"/>
    <cellStyle name="Odwiedzone hiperłącze" xfId="103" builtinId="9" hidden="1"/>
    <cellStyle name="Odwiedzone hiperłącze" xfId="105" builtinId="9" hidden="1"/>
    <cellStyle name="Odwiedzone hiperłącze" xfId="107" builtinId="9" hidden="1"/>
    <cellStyle name="Odwiedzone hiperłącze" xfId="109" builtinId="9" hidden="1"/>
    <cellStyle name="Odwiedzone hiperłącze" xfId="111" builtinId="9" hidden="1"/>
    <cellStyle name="Odwiedzone hiperłącze" xfId="113" builtinId="9" hidden="1"/>
    <cellStyle name="Odwiedzone hiperłącze" xfId="115" builtinId="9" hidden="1"/>
    <cellStyle name="Odwiedzone hiperłącze" xfId="117" builtinId="9" hidden="1"/>
    <cellStyle name="Odwiedzone hiperłącze" xfId="119" builtinId="9" hidden="1"/>
    <cellStyle name="Odwiedzone hiperłącze" xfId="121" builtinId="9" hidden="1"/>
    <cellStyle name="Odwiedzone hiperłącze" xfId="123" builtinId="9" hidden="1"/>
    <cellStyle name="Odwiedzone hiperłącze" xfId="125" builtinId="9" hidden="1"/>
    <cellStyle name="Odwiedzone hiperłącze" xfId="127" builtinId="9" hidden="1"/>
    <cellStyle name="Odwiedzone hiperłącze" xfId="129" builtinId="9" hidden="1"/>
    <cellStyle name="Odwiedzone hiperłącze" xfId="131" builtinId="9" hidden="1"/>
    <cellStyle name="Odwiedzone hiperłącze" xfId="133" builtinId="9" hidden="1"/>
    <cellStyle name="Odwiedzone hiperłącze" xfId="135" builtinId="9" hidden="1"/>
    <cellStyle name="Odwiedzone hiperłącze" xfId="137" builtinId="9" hidden="1"/>
    <cellStyle name="Odwiedzone hiperłącze" xfId="139" builtinId="9" hidden="1"/>
    <cellStyle name="Odwiedzone hiperłącze" xfId="141" builtinId="9" hidden="1"/>
    <cellStyle name="Odwiedzone hiperłącze" xfId="143" builtinId="9" hidden="1"/>
    <cellStyle name="Odwiedzone hiperłącze" xfId="145" builtinId="9" hidden="1"/>
    <cellStyle name="Odwiedzone hiperłącze" xfId="147" builtinId="9" hidden="1"/>
    <cellStyle name="Odwiedzone hiperłącze" xfId="150" builtinId="9" hidden="1"/>
    <cellStyle name="Odwiedzone hiperłącze" xfId="152" builtinId="9" hidden="1"/>
    <cellStyle name="Odwiedzone hiperłącze" xfId="154" builtinId="9" hidden="1"/>
    <cellStyle name="Odwiedzone hiperłącze" xfId="156" builtinId="9" hidden="1"/>
    <cellStyle name="Odwiedzone hiperłącze" xfId="158" builtinId="9" hidden="1"/>
    <cellStyle name="Odwiedzone hiperłącze" xfId="160" builtinId="9" hidden="1"/>
    <cellStyle name="Odwiedzone hiperłącze" xfId="162" builtinId="9" hidden="1"/>
    <cellStyle name="Odwiedzone hiperłącze" xfId="164" builtinId="9" hidden="1"/>
    <cellStyle name="Odwiedzone hiperłącze" xfId="166" builtinId="9" hidden="1"/>
    <cellStyle name="Odwiedzone hiperłącze" xfId="168" builtinId="9" hidden="1"/>
    <cellStyle name="Odwiedzone hiperłącze" xfId="170" builtinId="9" hidden="1"/>
    <cellStyle name="Odwiedzone hiperłącze" xfId="172" builtinId="9" hidden="1"/>
    <cellStyle name="Odwiedzone hiperłącze" xfId="174" builtinId="9" hidden="1"/>
    <cellStyle name="Odwiedzone hiperłącze" xfId="176" builtinId="9" hidden="1"/>
    <cellStyle name="Odwiedzone hiperłącze" xfId="178" builtinId="9" hidden="1"/>
    <cellStyle name="Odwiedzone hiperłącze" xfId="180" builtinId="9" hidden="1"/>
    <cellStyle name="Odwiedzone hiperłącze" xfId="182" builtinId="9" hidden="1"/>
    <cellStyle name="Odwiedzone hiperłącze" xfId="184" builtinId="9" hidden="1"/>
    <cellStyle name="Odwiedzone hiperłącze" xfId="186" builtinId="9" hidden="1"/>
    <cellStyle name="Odwiedzone hiperłącze" xfId="188" builtinId="9" hidden="1"/>
    <cellStyle name="Odwiedzone hiperłącze" xfId="190" builtinId="9" hidden="1"/>
    <cellStyle name="Odwiedzone hiperłącze" xfId="192" builtinId="9" hidden="1"/>
    <cellStyle name="Odwiedzone hiperłącze" xfId="194" builtinId="9" hidden="1"/>
    <cellStyle name="Odwiedzone hiperłącze" xfId="196" builtinId="9" hidden="1"/>
    <cellStyle name="Odwiedzone hiperłącze" xfId="198" builtinId="9" hidden="1"/>
    <cellStyle name="Odwiedzone hiperłącze" xfId="200" builtinId="9" hidden="1"/>
    <cellStyle name="Odwiedzone hiperłącze" xfId="202" builtinId="9" hidden="1"/>
    <cellStyle name="Odwiedzone hiperłącze" xfId="204" builtinId="9" hidden="1"/>
    <cellStyle name="Odwiedzone hiperłącze" xfId="206" builtinId="9" hidden="1"/>
    <cellStyle name="Odwiedzone hiperłącze" xfId="208" builtinId="9" hidden="1"/>
    <cellStyle name="Odwiedzone hiperłącze" xfId="210" builtinId="9" hidden="1"/>
    <cellStyle name="Odwiedzone hiperłącze" xfId="212" builtinId="9" hidden="1"/>
    <cellStyle name="Odwiedzone hiperłącze" xfId="213" builtinId="9" hidden="1"/>
    <cellStyle name="Odwiedzone hiperłącze" xfId="214" builtinId="9" hidden="1"/>
    <cellStyle name="Odwiedzone hiperłącze" xfId="215" builtinId="9" hidden="1"/>
    <cellStyle name="Odwiedzone hiperłącze" xfId="216" builtinId="9" hidden="1"/>
    <cellStyle name="Odwiedzone hiperłącze" xfId="217" builtinId="9" hidden="1"/>
    <cellStyle name="Odwiedzone hiperłącze" xfId="218" builtinId="9" hidden="1"/>
    <cellStyle name="Odwiedzone hiperłącze" xfId="219" builtinId="9" hidden="1"/>
    <cellStyle name="Odwiedzone hiperłącze" xfId="220" builtinId="9" hidden="1"/>
    <cellStyle name="Odwiedzone hiperłącze" xfId="221" builtinId="9" hidden="1"/>
    <cellStyle name="Odwiedzone hiperłącze" xfId="222" builtinId="9" hidden="1"/>
    <cellStyle name="Odwiedzone hiperłącze" xfId="223" builtinId="9" hidden="1"/>
    <cellStyle name="Odwiedzone hiperłącze" xfId="224" builtinId="9" hidden="1"/>
    <cellStyle name="Odwiedzone hiperłącze" xfId="225" builtinId="9" hidden="1"/>
    <cellStyle name="Odwiedzone hiperłącze" xfId="226" builtinId="9" hidden="1"/>
    <cellStyle name="Odwiedzone hiperłącze" xfId="227" builtinId="9" hidden="1"/>
    <cellStyle name="Odwiedzone hiperłącze" xfId="228" builtinId="9" hidden="1"/>
    <cellStyle name="Odwiedzone hiperłącze" xfId="229" builtinId="9" hidden="1"/>
    <cellStyle name="Odwiedzone hiperłącze" xfId="230" builtinId="9" hidden="1"/>
    <cellStyle name="Odwiedzone hiperłącze" xfId="231" builtinId="9" hidden="1"/>
    <cellStyle name="Odwiedzone hiperłącze" xfId="232" builtinId="9" hidden="1"/>
    <cellStyle name="Odwiedzone hiperłącze" xfId="233" builtinId="9" hidden="1"/>
    <cellStyle name="Odwiedzone hiperłącze" xfId="234" builtinId="9" hidden="1"/>
    <cellStyle name="Odwiedzone hiperłącze" xfId="235" builtinId="9" hidden="1"/>
    <cellStyle name="Odwiedzone hiperłącze" xfId="236" builtinId="9" hidden="1"/>
    <cellStyle name="Odwiedzone hiperłącze" xfId="237" builtinId="9" hidden="1"/>
    <cellStyle name="Odwiedzone hiperłącze" xfId="238" builtinId="9" hidden="1"/>
    <cellStyle name="Odwiedzone hiperłącze" xfId="239" builtinId="9" hidden="1"/>
    <cellStyle name="Odwiedzone hiperłącze" xfId="240" builtinId="9" hidden="1"/>
    <cellStyle name="Odwiedzone hiperłącze" xfId="241" builtinId="9" hidden="1"/>
    <cellStyle name="Odwiedzone hiperłącze" xfId="242" builtinId="9" hidden="1"/>
    <cellStyle name="Odwiedzone hiperłącze" xfId="243" builtinId="9" hidden="1"/>
    <cellStyle name="Odwiedzone hiperłącze" xfId="244" builtinId="9" hidden="1"/>
    <cellStyle name="Odwiedzone hiperłącze" xfId="245" builtinId="9" hidden="1"/>
    <cellStyle name="Odwiedzone hiperłącze" xfId="246" builtinId="9" hidden="1"/>
    <cellStyle name="Odwiedzone hiperłącze" xfId="247" builtinId="9" hidden="1"/>
    <cellStyle name="Odwiedzone hiperłącze" xfId="248" builtinId="9" hidden="1"/>
    <cellStyle name="Odwiedzone hiperłącze" xfId="249" builtinId="9" hidden="1"/>
    <cellStyle name="Odwiedzone hiperłącze" xfId="250" builtinId="9" hidden="1"/>
    <cellStyle name="Odwiedzone hiperłącze" xfId="251" builtinId="9" hidden="1"/>
    <cellStyle name="Odwiedzone hiperłącze" xfId="252" builtinId="9" hidden="1"/>
    <cellStyle name="Odwiedzone hiperłącze" xfId="253" builtinId="9" hidden="1"/>
    <cellStyle name="Odwiedzone hiperłącze" xfId="254" builtinId="9" hidden="1"/>
    <cellStyle name="Odwiedzone hiperłącze" xfId="255" builtinId="9" hidden="1"/>
    <cellStyle name="Odwiedzone hiperłącze" xfId="256" builtinId="9" hidden="1"/>
    <cellStyle name="Odwiedzone hiperłącze" xfId="257" builtinId="9" hidden="1"/>
    <cellStyle name="Odwiedzone hiperłącze" xfId="258" builtinId="9" hidden="1"/>
    <cellStyle name="Odwiedzone hiperłącze" xfId="259" builtinId="9" hidden="1"/>
    <cellStyle name="Odwiedzone hiperłącze" xfId="260" builtinId="9" hidden="1"/>
    <cellStyle name="Odwiedzone hiperłącze" xfId="261" builtinId="9" hidden="1"/>
    <cellStyle name="Odwiedzone hiperłącze" xfId="262" builtinId="9" hidden="1"/>
    <cellStyle name="Odwiedzone hiperłącze" xfId="263" builtinId="9" hidden="1"/>
    <cellStyle name="Odwiedzone hiperłącze" xfId="264" builtinId="9" hidden="1"/>
    <cellStyle name="Odwiedzone hiperłącze" xfId="265" builtinId="9" hidden="1"/>
    <cellStyle name="Odwiedzone hiperłącze" xfId="266" builtinId="9" hidden="1"/>
    <cellStyle name="Odwiedzone hiperłącze" xfId="267" builtinId="9" hidden="1"/>
    <cellStyle name="Odwiedzone hiperłącze" xfId="268" builtinId="9" hidden="1"/>
    <cellStyle name="Odwiedzone hiperłącze" xfId="269" builtinId="9" hidden="1"/>
    <cellStyle name="Odwiedzone hiperłącze" xfId="270" builtinId="9" hidden="1"/>
    <cellStyle name="Odwiedzone hiperłącze" xfId="271" builtinId="9" hidden="1"/>
    <cellStyle name="Odwiedzone hiperłącze" xfId="272" builtinId="9" hidden="1"/>
    <cellStyle name="Odwiedzone hiperłącze" xfId="273" builtinId="9" hidden="1"/>
    <cellStyle name="Odwiedzone hiperłącze" xfId="274" builtinId="9" hidden="1"/>
    <cellStyle name="Odwiedzone hiperłącze" xfId="275" builtinId="9" hidden="1"/>
    <cellStyle name="Odwiedzone hiperłącze" xfId="276" builtinId="9" hidden="1"/>
    <cellStyle name="Odwiedzone hiperłącze" xfId="277" builtinId="9" hidden="1"/>
    <cellStyle name="Odwiedzone hiperłącze" xfId="278" builtinId="9" hidden="1"/>
    <cellStyle name="Odwiedzone hiperłącze" xfId="279" builtinId="9" hidden="1"/>
    <cellStyle name="Odwiedzone hiperłącze" xfId="280" builtinId="9" hidden="1"/>
    <cellStyle name="Odwiedzone hiperłącze" xfId="281" builtinId="9" hidden="1"/>
    <cellStyle name="Odwiedzone hiperłącze" xfId="282" builtinId="9" hidden="1"/>
    <cellStyle name="Odwiedzone hiperłącze" xfId="283" builtinId="9" hidden="1"/>
    <cellStyle name="Odwiedzone hiperłącze" xfId="284" builtinId="9" hidden="1"/>
    <cellStyle name="Odwiedzone hiperłącze" xfId="285" builtinId="9" hidden="1"/>
    <cellStyle name="Odwiedzone hiperłącze" xfId="286" builtinId="9" hidden="1"/>
    <cellStyle name="Odwiedzone hiperłącze" xfId="287" builtinId="9" hidden="1"/>
    <cellStyle name="Odwiedzone hiperłącze" xfId="288" builtinId="9" hidden="1"/>
    <cellStyle name="Odwiedzone hiperłącze" xfId="289" builtinId="9" hidden="1"/>
    <cellStyle name="Odwiedzone hiperłącze" xfId="290" builtinId="9" hidden="1"/>
    <cellStyle name="Odwiedzone hiperłącze" xfId="291" builtinId="9" hidden="1"/>
    <cellStyle name="Odwiedzone hiperłącze" xfId="292" builtinId="9" hidden="1"/>
    <cellStyle name="Odwiedzone hiperłącze" xfId="293" builtinId="9" hidden="1"/>
    <cellStyle name="Odwiedzone hiperłącze" xfId="294" builtinId="9" hidden="1"/>
    <cellStyle name="Odwiedzone hiperłącze" xfId="295" builtinId="9" hidden="1"/>
    <cellStyle name="Odwiedzone hiperłącze" xfId="296" builtinId="9" hidden="1"/>
    <cellStyle name="Odwiedzone hiperłącze" xfId="297" builtinId="9" hidden="1"/>
    <cellStyle name="Odwiedzone hiperłącze" xfId="298" builtinId="9" hidden="1"/>
    <cellStyle name="Odwiedzone hiperłącze" xfId="299" builtinId="9" hidden="1"/>
    <cellStyle name="Odwiedzone hiperłącze" xfId="300" builtinId="9" hidden="1"/>
    <cellStyle name="Odwiedzone hiperłącze" xfId="301" builtinId="9" hidden="1"/>
    <cellStyle name="Odwiedzone hiperłącze" xfId="302" builtinId="9" hidden="1"/>
    <cellStyle name="Odwiedzone hiperłącze" xfId="303" builtinId="9" hidden="1"/>
    <cellStyle name="Odwiedzone hiperłącze" xfId="304" builtinId="9" hidden="1"/>
    <cellStyle name="Odwiedzone hiperłącze" xfId="305" builtinId="9" hidden="1"/>
    <cellStyle name="Odwiedzone hiperłącze" xfId="306" builtinId="9" hidden="1"/>
    <cellStyle name="Odwiedzone hiperłącze" xfId="307" builtinId="9" hidden="1"/>
    <cellStyle name="Odwiedzone hiperłącze" xfId="308" builtinId="9" hidden="1"/>
    <cellStyle name="Odwiedzone hiperłącze" xfId="309" builtinId="9" hidden="1"/>
    <cellStyle name="Odwiedzone hiperłącze" xfId="310" builtinId="9" hidden="1"/>
    <cellStyle name="Odwiedzone hiperłącze" xfId="311" builtinId="9" hidden="1"/>
    <cellStyle name="Odwiedzone hiperłącze" xfId="312" builtinId="9" hidden="1"/>
    <cellStyle name="Odwiedzone hiperłącze" xfId="313" builtinId="9" hidden="1"/>
    <cellStyle name="Odwiedzone hiperłącze" xfId="314" builtinId="9" hidden="1"/>
    <cellStyle name="Odwiedzone hiperłącze" xfId="315" builtinId="9" hidden="1"/>
    <cellStyle name="Odwiedzone hiperłącze" xfId="316" builtinId="9" hidden="1"/>
    <cellStyle name="Odwiedzone hiperłącze" xfId="317" builtinId="9" hidden="1"/>
    <cellStyle name="Odwiedzone hiperłącze" xfId="318" builtinId="9" hidden="1"/>
    <cellStyle name="Odwiedzone hiperłącze" xfId="319" builtinId="9" hidden="1"/>
    <cellStyle name="Odwiedzone hiperłącze" xfId="320" builtinId="9" hidden="1"/>
    <cellStyle name="Odwiedzone hiperłącze" xfId="321" builtinId="9" hidden="1"/>
    <cellStyle name="Odwiedzone hiperłącze" xfId="322" builtinId="9" hidden="1"/>
    <cellStyle name="Odwiedzone hiperłącze" xfId="323" builtinId="9" hidden="1"/>
    <cellStyle name="Odwiedzone hiperłącze" xfId="324" builtinId="9" hidden="1"/>
    <cellStyle name="Odwiedzone hiperłącze" xfId="325" builtinId="9" hidden="1"/>
    <cellStyle name="Odwiedzone hiperłącze" xfId="326" builtinId="9" hidden="1"/>
    <cellStyle name="Odwiedzone hiperłącze" xfId="327" builtinId="9" hidden="1"/>
    <cellStyle name="Odwiedzone hiperłącze" xfId="328" builtinId="9" hidden="1"/>
    <cellStyle name="Odwiedzone hiperłącze" xfId="329" builtinId="9" hidden="1"/>
    <cellStyle name="Odwiedzone hiperłącze" xfId="330" builtinId="9" hidden="1"/>
    <cellStyle name="Odwiedzone hiperłącze" xfId="331" builtinId="9" hidden="1"/>
    <cellStyle name="Odwiedzone hiperłącze" xfId="332" builtinId="9" hidden="1"/>
    <cellStyle name="Odwiedzone hiperłącze" xfId="333" builtinId="9" hidden="1"/>
    <cellStyle name="Odwiedzone hiperłącze" xfId="334" builtinId="9" hidden="1"/>
    <cellStyle name="Odwiedzone hiperłącze" xfId="335" builtinId="9" hidden="1"/>
    <cellStyle name="Odwiedzone hiperłącze" xfId="336" builtinId="9" hidden="1"/>
    <cellStyle name="Odwiedzone hiperłącze" xfId="337" builtinId="9" hidden="1"/>
    <cellStyle name="Odwiedzone hiperłącze" xfId="338" builtinId="9" hidden="1"/>
    <cellStyle name="Odwiedzone hiperłącze" xfId="339" builtinId="9" hidden="1"/>
    <cellStyle name="Odwiedzone hiperłącze" xfId="340" builtinId="9" hidden="1"/>
    <cellStyle name="Odwiedzone hiperłącze" xfId="341" builtinId="9" hidden="1"/>
    <cellStyle name="Odwiedzone hiperłącze" xfId="342" builtinId="9" hidden="1"/>
    <cellStyle name="Odwiedzone hiperłącze" xfId="343" builtinId="9" hidden="1"/>
    <cellStyle name="Odwiedzone hiperłącze" xfId="344" builtinId="9" hidden="1"/>
    <cellStyle name="Odwiedzone hiperłącze" xfId="345" builtinId="9" hidden="1"/>
    <cellStyle name="Odwiedzone hiperłącze" xfId="346" builtinId="9" hidden="1"/>
    <cellStyle name="Odwiedzone hiperłącze" xfId="347" builtinId="9" hidden="1"/>
    <cellStyle name="Odwiedzone hiperłącze" xfId="348" builtinId="9" hidden="1"/>
    <cellStyle name="Odwiedzone hiperłącze" xfId="349" builtinId="9" hidden="1"/>
    <cellStyle name="Odwiedzone hiperłącze" xfId="350" builtinId="9" hidden="1"/>
    <cellStyle name="Odwiedzone hiperłącze" xfId="351" builtinId="9" hidden="1"/>
    <cellStyle name="Odwiedzone hiperłącze" xfId="352" builtinId="9" hidden="1"/>
    <cellStyle name="Odwiedzone hiperłącze" xfId="353" builtinId="9" hidden="1"/>
    <cellStyle name="Odwiedzone hiperłącze" xfId="354" builtinId="9" hidden="1"/>
    <cellStyle name="Odwiedzone hiperłącze" xfId="355" builtinId="9" hidden="1"/>
    <cellStyle name="Odwiedzone hiperłącze" xfId="356" builtinId="9" hidden="1"/>
    <cellStyle name="Odwiedzone hiperłącze" xfId="357" builtinId="9" hidden="1"/>
    <cellStyle name="Odwiedzone hiperłącze" xfId="358" builtinId="9" hidden="1"/>
    <cellStyle name="Odwiedzone hiperłącze" xfId="359" builtinId="9" hidden="1"/>
    <cellStyle name="Odwiedzone hiperłącze" xfId="360" builtinId="9" hidden="1"/>
    <cellStyle name="Odwiedzone hiperłącze" xfId="361" builtinId="9" hidden="1"/>
    <cellStyle name="Odwiedzone hiperłącze" xfId="362" builtinId="9" hidden="1"/>
    <cellStyle name="Odwiedzone hiperłącze" xfId="363" builtinId="9" hidden="1"/>
    <cellStyle name="Odwiedzone hiperłącze" xfId="364" builtinId="9" hidden="1"/>
    <cellStyle name="Odwiedzone hiperłącze" xfId="365" builtinId="9" hidden="1"/>
    <cellStyle name="Odwiedzone hiperłącze" xfId="366" builtinId="9" hidden="1"/>
    <cellStyle name="Odwiedzone hiperłącze" xfId="367" builtinId="9" hidden="1"/>
    <cellStyle name="Odwiedzone hiperłącze" xfId="368" builtinId="9" hidden="1"/>
    <cellStyle name="Odwiedzone hiperłącze" xfId="369" builtinId="9" hidden="1"/>
    <cellStyle name="Odwiedzone hiperłącze" xfId="370" builtinId="9" hidden="1"/>
    <cellStyle name="Odwiedzone hiperłącze" xfId="371" builtinId="9" hidden="1"/>
    <cellStyle name="Odwiedzone hiperłącze" xfId="372" builtinId="9" hidden="1"/>
    <cellStyle name="Odwiedzone hiperłącze" xfId="373" builtinId="9" hidden="1"/>
    <cellStyle name="Odwiedzone hiperłącze" xfId="374" builtinId="9" hidden="1"/>
    <cellStyle name="Odwiedzone hiperłącze" xfId="375" builtinId="9" hidden="1"/>
    <cellStyle name="Odwiedzone hiperłącze" xfId="376" builtinId="9" hidden="1"/>
    <cellStyle name="Odwiedzone hiperłącze" xfId="377" builtinId="9" hidden="1"/>
    <cellStyle name="Odwiedzone hiperłącze" xfId="378" builtinId="9" hidden="1"/>
    <cellStyle name="Odwiedzone hiperłącze" xfId="379" builtinId="9" hidden="1"/>
    <cellStyle name="Odwiedzone hiperłącze" xfId="380" builtinId="9" hidden="1"/>
    <cellStyle name="Odwiedzone hiperłącze" xfId="381" builtinId="9" hidden="1"/>
    <cellStyle name="Odwiedzone hiperłącze" xfId="382" builtinId="9" hidden="1"/>
    <cellStyle name="Procentowy" xfId="27" builtinId="5"/>
    <cellStyle name="Procentowy 2" xfId="148" xr:uid="{00000000-0005-0000-0000-00007F010000}"/>
    <cellStyle name="Procentowy 2 2" xfId="386" xr:uid="{4AD48225-0BC8-46F3-AD73-4FBCD955BF07}"/>
    <cellStyle name="Procentowy 3" xfId="385" xr:uid="{11283CFB-DAC0-4244-8EBD-D1B985EF46E3}"/>
  </cellStyles>
  <dxfs count="0"/>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2280803</xdr:colOff>
      <xdr:row>6</xdr:row>
      <xdr:rowOff>139700</xdr:rowOff>
    </xdr:to>
    <xdr:pic>
      <xdr:nvPicPr>
        <xdr:cNvPr id="2" name="Obraz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0" y="0"/>
          <a:ext cx="2598303" cy="1358900"/>
        </a:xfrm>
        <a:prstGeom prst="rect">
          <a:avLst/>
        </a:prstGeom>
      </xdr:spPr>
    </xdr:pic>
    <xdr:clientData/>
  </xdr:twoCellAnchor>
  <xdr:twoCellAnchor>
    <xdr:from>
      <xdr:col>2</xdr:col>
      <xdr:colOff>0</xdr:colOff>
      <xdr:row>1</xdr:row>
      <xdr:rowOff>127000</xdr:rowOff>
    </xdr:from>
    <xdr:to>
      <xdr:col>8</xdr:col>
      <xdr:colOff>622300</xdr:colOff>
      <xdr:row>5</xdr:row>
      <xdr:rowOff>27000</xdr:rowOff>
    </xdr:to>
    <xdr:sp macro="" textlink="">
      <xdr:nvSpPr>
        <xdr:cNvPr id="3" name="PoleTekstowe 2">
          <a:extLst>
            <a:ext uri="{FF2B5EF4-FFF2-40B4-BE49-F238E27FC236}">
              <a16:creationId xmlns:a16="http://schemas.microsoft.com/office/drawing/2014/main" id="{00000000-0008-0000-0000-000003000000}"/>
            </a:ext>
          </a:extLst>
        </xdr:cNvPr>
        <xdr:cNvSpPr txBox="1"/>
      </xdr:nvSpPr>
      <xdr:spPr>
        <a:xfrm>
          <a:off x="2781300" y="330200"/>
          <a:ext cx="5854700" cy="712800"/>
        </a:xfrm>
        <a:prstGeom prst="rect">
          <a:avLst/>
        </a:prstGeom>
        <a:solidFill>
          <a:schemeClr val="accen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pl-PL" sz="4000" b="1">
              <a:solidFill>
                <a:schemeClr val="bg1"/>
              </a:solidFill>
            </a:rPr>
            <a:t>Spreadsheet </a:t>
          </a:r>
        </a:p>
      </xdr:txBody>
    </xdr:sp>
    <xdr:clientData/>
  </xdr:twoCellAnchor>
  <xdr:twoCellAnchor>
    <xdr:from>
      <xdr:col>2</xdr:col>
      <xdr:colOff>0</xdr:colOff>
      <xdr:row>5</xdr:row>
      <xdr:rowOff>177800</xdr:rowOff>
    </xdr:from>
    <xdr:to>
      <xdr:col>8</xdr:col>
      <xdr:colOff>622300</xdr:colOff>
      <xdr:row>9</xdr:row>
      <xdr:rowOff>77800</xdr:rowOff>
    </xdr:to>
    <xdr:sp macro="" textlink="">
      <xdr:nvSpPr>
        <xdr:cNvPr id="4" name="PoleTekstowe 3">
          <a:extLst>
            <a:ext uri="{FF2B5EF4-FFF2-40B4-BE49-F238E27FC236}">
              <a16:creationId xmlns:a16="http://schemas.microsoft.com/office/drawing/2014/main" id="{00000000-0008-0000-0000-000004000000}"/>
            </a:ext>
          </a:extLst>
        </xdr:cNvPr>
        <xdr:cNvSpPr txBox="1"/>
      </xdr:nvSpPr>
      <xdr:spPr>
        <a:xfrm>
          <a:off x="2781300" y="1193800"/>
          <a:ext cx="5854700" cy="712800"/>
        </a:xfrm>
        <a:prstGeom prst="rect">
          <a:avLst/>
        </a:prstGeom>
        <a:solidFill>
          <a:schemeClr val="accen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pl-PL" sz="2800">
              <a:solidFill>
                <a:schemeClr val="bg1"/>
              </a:solidFill>
            </a:rPr>
            <a:t>On: 31.12.2020.</a:t>
          </a:r>
        </a:p>
      </xdr:txBody>
    </xdr:sp>
    <xdr:clientData/>
  </xdr:twoCellAnchor>
  <xdr:twoCellAnchor>
    <xdr:from>
      <xdr:col>1</xdr:col>
      <xdr:colOff>25400</xdr:colOff>
      <xdr:row>10</xdr:row>
      <xdr:rowOff>50800</xdr:rowOff>
    </xdr:from>
    <xdr:to>
      <xdr:col>8</xdr:col>
      <xdr:colOff>622300</xdr:colOff>
      <xdr:row>15</xdr:row>
      <xdr:rowOff>154000</xdr:rowOff>
    </xdr:to>
    <xdr:sp macro="" textlink="">
      <xdr:nvSpPr>
        <xdr:cNvPr id="5" name="PoleTekstowe 4">
          <a:extLst>
            <a:ext uri="{FF2B5EF4-FFF2-40B4-BE49-F238E27FC236}">
              <a16:creationId xmlns:a16="http://schemas.microsoft.com/office/drawing/2014/main" id="{00000000-0008-0000-0000-000005000000}"/>
            </a:ext>
          </a:extLst>
        </xdr:cNvPr>
        <xdr:cNvSpPr txBox="1"/>
      </xdr:nvSpPr>
      <xdr:spPr>
        <a:xfrm>
          <a:off x="355600" y="2082800"/>
          <a:ext cx="8280400" cy="712800"/>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r>
            <a:rPr lang="pl-PL" sz="1050">
              <a:solidFill>
                <a:schemeClr val="tx2"/>
              </a:solidFill>
            </a:rPr>
            <a:t>This document is ancillary. Investor relations team of LUG S.A. strives to ensure that the data contained in this dcument is accurate, but can not guarantee their correctness. Data in factsheet is entered directly from published periodic reports for a given period, therefore there may be differences, eg between the sum of data for four quarters of a given year and data from the annual report for that year. The basic and main source of data on LUG S.A., LUG S.A. Capital Group, financial results and operational data are information documents, prospectuses, periodic reports and current reports published by the company via ESPI and EBI systems and the company's website.</a:t>
          </a:r>
        </a:p>
      </xdr:txBody>
    </xdr:sp>
    <xdr:clientData/>
  </xdr:twoCellAnchor>
</xdr:wsDr>
</file>

<file path=xl/theme/theme1.xml><?xml version="1.0" encoding="utf-8"?>
<a:theme xmlns:a="http://schemas.openxmlformats.org/drawingml/2006/main" name="Motyw pakietu Office">
  <a:themeElements>
    <a:clrScheme name="LUG">
      <a:dk1>
        <a:srgbClr val="000000"/>
      </a:dk1>
      <a:lt1>
        <a:srgbClr val="FFFFFF"/>
      </a:lt1>
      <a:dk2>
        <a:srgbClr val="676767"/>
      </a:dk2>
      <a:lt2>
        <a:srgbClr val="FFFFFF"/>
      </a:lt2>
      <a:accent1>
        <a:srgbClr val="DA241D"/>
      </a:accent1>
      <a:accent2>
        <a:srgbClr val="676767"/>
      </a:accent2>
      <a:accent3>
        <a:srgbClr val="676767"/>
      </a:accent3>
      <a:accent4>
        <a:srgbClr val="919191"/>
      </a:accent4>
      <a:accent5>
        <a:srgbClr val="BBBBBB"/>
      </a:accent5>
      <a:accent6>
        <a:srgbClr val="E0E0E0"/>
      </a:accent6>
      <a:hlink>
        <a:srgbClr val="000000"/>
      </a:hlink>
      <a:folHlink>
        <a:srgbClr val="676767"/>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7:E32"/>
  <sheetViews>
    <sheetView showGridLines="0" tabSelected="1" workbookViewId="0">
      <selection activeCell="G27" sqref="G27"/>
    </sheetView>
  </sheetViews>
  <sheetFormatPr defaultColWidth="10.54296875" defaultRowHeight="15" x14ac:dyDescent="0.25"/>
  <cols>
    <col min="1" max="1" width="3.54296875" customWidth="1"/>
    <col min="2" max="2" width="27.54296875" bestFit="1" customWidth="1"/>
    <col min="3" max="3" width="3.54296875" customWidth="1"/>
    <col min="4" max="4" width="12.54296875" bestFit="1" customWidth="1"/>
    <col min="5" max="5" width="10.26953125" bestFit="1" customWidth="1"/>
  </cols>
  <sheetData>
    <row r="17" spans="2:5" s="20" customFormat="1" ht="15.6" x14ac:dyDescent="0.3">
      <c r="B17" s="20" t="s">
        <v>65</v>
      </c>
    </row>
    <row r="19" spans="2:5" x14ac:dyDescent="0.25">
      <c r="B19" t="s">
        <v>66</v>
      </c>
      <c r="D19" s="23" t="s">
        <v>72</v>
      </c>
      <c r="E19" s="23" t="s">
        <v>73</v>
      </c>
    </row>
    <row r="20" spans="2:5" x14ac:dyDescent="0.25">
      <c r="B20" s="23" t="s">
        <v>67</v>
      </c>
    </row>
    <row r="21" spans="2:5" x14ac:dyDescent="0.25">
      <c r="B21" t="s">
        <v>68</v>
      </c>
      <c r="D21" s="23" t="s">
        <v>72</v>
      </c>
      <c r="E21" s="23" t="s">
        <v>73</v>
      </c>
    </row>
    <row r="22" spans="2:5" x14ac:dyDescent="0.25">
      <c r="B22" s="23" t="s">
        <v>69</v>
      </c>
    </row>
    <row r="23" spans="2:5" x14ac:dyDescent="0.25">
      <c r="B23" s="23" t="s">
        <v>70</v>
      </c>
    </row>
    <row r="24" spans="2:5" x14ac:dyDescent="0.25">
      <c r="B24" s="23" t="s">
        <v>71</v>
      </c>
    </row>
    <row r="26" spans="2:5" ht="15.6" x14ac:dyDescent="0.3">
      <c r="B26" s="20" t="s">
        <v>74</v>
      </c>
    </row>
    <row r="28" spans="2:5" x14ac:dyDescent="0.25">
      <c r="B28" s="24" t="s">
        <v>75</v>
      </c>
      <c r="D28" t="s">
        <v>24</v>
      </c>
    </row>
    <row r="29" spans="2:5" x14ac:dyDescent="0.25">
      <c r="B29" s="24" t="s">
        <v>76</v>
      </c>
      <c r="D29" t="s">
        <v>26</v>
      </c>
    </row>
    <row r="30" spans="2:5" x14ac:dyDescent="0.25">
      <c r="B30" s="24" t="s">
        <v>77</v>
      </c>
      <c r="D30" t="s">
        <v>78</v>
      </c>
    </row>
    <row r="31" spans="2:5" x14ac:dyDescent="0.25">
      <c r="B31" s="24" t="s">
        <v>25</v>
      </c>
      <c r="D31" t="s">
        <v>27</v>
      </c>
    </row>
    <row r="32" spans="2:5" x14ac:dyDescent="0.25">
      <c r="B32" s="24" t="s">
        <v>28</v>
      </c>
      <c r="D32" t="s">
        <v>29</v>
      </c>
    </row>
  </sheetData>
  <hyperlinks>
    <hyperlink ref="D19" location="R_wyników_Q!A1" display="dane kwartalne" xr:uid="{00000000-0004-0000-0000-000000000000}"/>
    <hyperlink ref="E19" location="R_wyników_FY!A1" display="dane roczne" xr:uid="{00000000-0004-0000-0000-000001000000}"/>
    <hyperlink ref="B20" location="Bilans!A1" display="Bilans" xr:uid="{00000000-0004-0000-0000-000002000000}"/>
    <hyperlink ref="D21" location="Cashflow_Q!A1" display="dane kwartalne" xr:uid="{00000000-0004-0000-0000-000003000000}"/>
    <hyperlink ref="E21" location="Cashflow_FY!A1" display="dane roczne" xr:uid="{00000000-0004-0000-0000-000004000000}"/>
    <hyperlink ref="B22" location="Inwestycje!A1" display="Inwestycje" xr:uid="{00000000-0004-0000-0000-000005000000}"/>
    <hyperlink ref="B23" location="HR!A1" display="Dane na temat zatrudnienia" xr:uid="{00000000-0004-0000-0000-000006000000}"/>
    <hyperlink ref="B24" location="Akcjonariat!A1" display="Akcjonariat" xr:uid="{00000000-0004-0000-0000-000007000000}"/>
  </hyperlinks>
  <pageMargins left="0.7" right="0.7" top="0.75" bottom="0.75" header="0.3" footer="0.3"/>
  <pageSetup paperSize="9" orientation="portrait" horizontalDpi="0" verticalDpi="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X32"/>
  <sheetViews>
    <sheetView zoomScaleNormal="100" workbookViewId="0">
      <pane xSplit="1" ySplit="1" topLeftCell="Q6" activePane="bottomRight" state="frozenSplit"/>
      <selection sqref="A1:XFD1"/>
      <selection pane="topRight" activeCell="B1" sqref="B1"/>
      <selection pane="bottomLeft"/>
      <selection pane="bottomRight" activeCell="A9" sqref="A9:A29"/>
    </sheetView>
  </sheetViews>
  <sheetFormatPr defaultColWidth="10.54296875" defaultRowHeight="15" x14ac:dyDescent="0.25"/>
  <cols>
    <col min="1" max="1" width="48.26953125" style="1" customWidth="1"/>
    <col min="2" max="4" width="10.54296875" style="1"/>
    <col min="5" max="5" width="10.54296875" style="30"/>
    <col min="6" max="6" width="10.54296875" style="1"/>
    <col min="7" max="10" width="10.54296875" style="30"/>
    <col min="11" max="19" width="10.54296875" style="30" customWidth="1"/>
    <col min="20" max="20" width="10.54296875" style="30"/>
    <col min="21" max="21" width="10.54296875" style="8"/>
    <col min="22" max="23" width="10.54296875" style="3"/>
    <col min="24" max="24" width="11.54296875" style="1" customWidth="1"/>
    <col min="25" max="16384" width="10.54296875" style="1"/>
  </cols>
  <sheetData>
    <row r="1" spans="1:24" s="4" customFormat="1" ht="15.6" x14ac:dyDescent="0.3">
      <c r="A1" s="59" t="s">
        <v>81</v>
      </c>
      <c r="B1" s="34" t="s">
        <v>12</v>
      </c>
      <c r="C1" s="34" t="s">
        <v>13</v>
      </c>
      <c r="D1" s="34" t="s">
        <v>14</v>
      </c>
      <c r="E1" s="35" t="s">
        <v>15</v>
      </c>
      <c r="F1" s="34" t="s">
        <v>16</v>
      </c>
      <c r="G1" s="35" t="s">
        <v>30</v>
      </c>
      <c r="H1" s="35" t="s">
        <v>32</v>
      </c>
      <c r="I1" s="35" t="s">
        <v>36</v>
      </c>
      <c r="J1" s="35" t="s">
        <v>37</v>
      </c>
      <c r="K1" s="35" t="s">
        <v>39</v>
      </c>
      <c r="L1" s="35" t="s">
        <v>42</v>
      </c>
      <c r="M1" s="35" t="s">
        <v>44</v>
      </c>
      <c r="N1" s="35" t="s">
        <v>48</v>
      </c>
      <c r="O1" s="35" t="s">
        <v>50</v>
      </c>
      <c r="P1" s="35" t="s">
        <v>52</v>
      </c>
      <c r="Q1" s="35" t="s">
        <v>54</v>
      </c>
      <c r="R1" s="35" t="s">
        <v>56</v>
      </c>
      <c r="S1" s="35" t="s">
        <v>58</v>
      </c>
      <c r="T1" s="35" t="s">
        <v>60</v>
      </c>
      <c r="U1" s="45" t="s">
        <v>62</v>
      </c>
      <c r="V1" s="34" t="s">
        <v>79</v>
      </c>
      <c r="W1" s="34" t="s">
        <v>80</v>
      </c>
    </row>
    <row r="2" spans="1:24" s="4" customFormat="1" ht="15.6" x14ac:dyDescent="0.3">
      <c r="A2" s="35" t="s">
        <v>82</v>
      </c>
      <c r="B2" s="34">
        <v>22.048819999999999</v>
      </c>
      <c r="C2" s="34">
        <v>31.13747</v>
      </c>
      <c r="D2" s="34">
        <v>33.396149999999999</v>
      </c>
      <c r="E2" s="35">
        <v>34.274999999999999</v>
      </c>
      <c r="F2" s="34">
        <v>30.470009999999998</v>
      </c>
      <c r="G2" s="35">
        <v>33.31</v>
      </c>
      <c r="H2" s="35">
        <v>39.24</v>
      </c>
      <c r="I2" s="35">
        <v>39.279990000000005</v>
      </c>
      <c r="J2" s="35">
        <v>35</v>
      </c>
      <c r="K2" s="35">
        <v>41.66</v>
      </c>
      <c r="L2" s="35">
        <f>119.6-J2-K2</f>
        <v>42.94</v>
      </c>
      <c r="M2" s="35">
        <v>51.19</v>
      </c>
      <c r="N2" s="35">
        <v>42.05</v>
      </c>
      <c r="O2" s="35">
        <v>40.76</v>
      </c>
      <c r="P2" s="35">
        <v>40.590000000000003</v>
      </c>
      <c r="Q2" s="35">
        <v>45.1</v>
      </c>
      <c r="R2" s="35">
        <v>45.39</v>
      </c>
      <c r="S2" s="35">
        <v>45.120000000000005</v>
      </c>
      <c r="T2" s="35">
        <v>42.2</v>
      </c>
      <c r="U2" s="45">
        <v>50.45</v>
      </c>
      <c r="V2" s="52">
        <f>U2/T2-1</f>
        <v>0.19549763033175349</v>
      </c>
      <c r="W2" s="52">
        <f>U2/Q2-1</f>
        <v>0.11862527716186255</v>
      </c>
    </row>
    <row r="3" spans="1:24" ht="15.6" x14ac:dyDescent="0.3">
      <c r="A3" s="38" t="s">
        <v>83</v>
      </c>
      <c r="B3" s="59">
        <v>9.39</v>
      </c>
      <c r="C3" s="59">
        <v>13.754</v>
      </c>
      <c r="D3" s="59">
        <v>17.039000000000001</v>
      </c>
      <c r="E3" s="38">
        <v>15.42</v>
      </c>
      <c r="F3" s="59">
        <v>12.83620136</v>
      </c>
      <c r="G3" s="38">
        <v>13.89</v>
      </c>
      <c r="H3" s="38">
        <v>16.04</v>
      </c>
      <c r="I3" s="38">
        <v>19.190000000000001</v>
      </c>
      <c r="J3" s="38">
        <v>14.61</v>
      </c>
      <c r="K3" s="38">
        <v>20.98</v>
      </c>
      <c r="L3" s="38">
        <v>24.77</v>
      </c>
      <c r="M3" s="38">
        <v>21.06</v>
      </c>
      <c r="N3" s="38">
        <v>14</v>
      </c>
      <c r="O3" s="38">
        <v>14.5</v>
      </c>
      <c r="P3" s="38">
        <f>19.14-1.74</f>
        <v>17.400000000000002</v>
      </c>
      <c r="Q3" s="38">
        <v>20.9</v>
      </c>
      <c r="R3" s="38">
        <v>12.49</v>
      </c>
      <c r="S3" s="38">
        <v>22.75</v>
      </c>
      <c r="T3" s="82">
        <v>15.33</v>
      </c>
      <c r="U3" s="76">
        <f>69.01-T3-S3-R3</f>
        <v>18.440000000000005</v>
      </c>
      <c r="V3" s="60">
        <f>U3/T3-1</f>
        <v>0.20287018917155941</v>
      </c>
      <c r="W3" s="60">
        <f>U3/Q3-1</f>
        <v>-0.11770334928229631</v>
      </c>
      <c r="X3" s="4"/>
    </row>
    <row r="4" spans="1:24" s="2" customFormat="1" ht="15.6" x14ac:dyDescent="0.3">
      <c r="A4" s="62" t="s">
        <v>84</v>
      </c>
      <c r="B4" s="61">
        <f t="shared" ref="B4:G4" si="0">B3/B2</f>
        <v>0.42587313062558452</v>
      </c>
      <c r="C4" s="61">
        <f t="shared" si="0"/>
        <v>0.44171861104964533</v>
      </c>
      <c r="D4" s="61">
        <f t="shared" si="0"/>
        <v>0.51020851205902484</v>
      </c>
      <c r="E4" s="62">
        <f t="shared" si="0"/>
        <v>0.44989059080962801</v>
      </c>
      <c r="F4" s="61">
        <f t="shared" si="0"/>
        <v>0.42127329003173947</v>
      </c>
      <c r="G4" s="62">
        <f t="shared" si="0"/>
        <v>0.41699189432602823</v>
      </c>
      <c r="H4" s="62">
        <f t="shared" ref="H4:I4" si="1">H3/H2</f>
        <v>0.40876656472986744</v>
      </c>
      <c r="I4" s="62">
        <f t="shared" si="1"/>
        <v>0.48854391256209584</v>
      </c>
      <c r="J4" s="62">
        <f>J3/J2</f>
        <v>0.41742857142857143</v>
      </c>
      <c r="K4" s="62">
        <f>K3/K2</f>
        <v>0.50360057609217479</v>
      </c>
      <c r="L4" s="62">
        <f>L3/L2</f>
        <v>0.57685142058686545</v>
      </c>
      <c r="M4" s="62">
        <f t="shared" ref="M4:U4" si="2">M3/M2</f>
        <v>0.41140847821840204</v>
      </c>
      <c r="N4" s="62">
        <f t="shared" si="2"/>
        <v>0.33293697978596909</v>
      </c>
      <c r="O4" s="62">
        <f t="shared" si="2"/>
        <v>0.35574092247301276</v>
      </c>
      <c r="P4" s="62">
        <f t="shared" si="2"/>
        <v>0.42867701404286773</v>
      </c>
      <c r="Q4" s="62">
        <f t="shared" ref="Q4:T4" si="3">Q3/Q2</f>
        <v>0.46341463414634143</v>
      </c>
      <c r="R4" s="62">
        <f t="shared" si="3"/>
        <v>0.27517074245428508</v>
      </c>
      <c r="S4" s="62">
        <f t="shared" si="3"/>
        <v>0.50421099290780136</v>
      </c>
      <c r="T4" s="62">
        <f t="shared" si="3"/>
        <v>0.36327014218009479</v>
      </c>
      <c r="U4" s="63">
        <f t="shared" si="2"/>
        <v>0.36551040634291387</v>
      </c>
      <c r="V4" s="61">
        <f>U4-T4</f>
        <v>2.2402641628190834E-3</v>
      </c>
      <c r="W4" s="61">
        <f>U4-Q4</f>
        <v>-9.7904227803427557E-2</v>
      </c>
      <c r="X4" s="4"/>
    </row>
    <row r="5" spans="1:24" ht="15.6" x14ac:dyDescent="0.3">
      <c r="A5" s="38" t="s">
        <v>85</v>
      </c>
      <c r="B5" s="59">
        <v>12.659000000000001</v>
      </c>
      <c r="C5" s="59">
        <v>17.382999999999999</v>
      </c>
      <c r="D5" s="59">
        <v>16.356999999999999</v>
      </c>
      <c r="E5" s="38">
        <v>18.86</v>
      </c>
      <c r="F5" s="59">
        <v>17.633808640000002</v>
      </c>
      <c r="G5" s="38">
        <v>19.420000000000002</v>
      </c>
      <c r="H5" s="38">
        <v>23.2</v>
      </c>
      <c r="I5" s="38">
        <v>20.09</v>
      </c>
      <c r="J5" s="38">
        <v>20.39</v>
      </c>
      <c r="K5" s="38">
        <v>20.68</v>
      </c>
      <c r="L5" s="38">
        <v>18.170000000000002</v>
      </c>
      <c r="M5" s="38">
        <v>30.130000000000003</v>
      </c>
      <c r="N5" s="38">
        <v>28.05</v>
      </c>
      <c r="O5" s="38">
        <v>26.26</v>
      </c>
      <c r="P5" s="38">
        <f>P2-P3</f>
        <v>23.19</v>
      </c>
      <c r="Q5" s="38">
        <v>24.2</v>
      </c>
      <c r="R5" s="38">
        <v>32.9</v>
      </c>
      <c r="S5" s="38">
        <v>22.370000000000005</v>
      </c>
      <c r="T5" s="82">
        <v>26.87</v>
      </c>
      <c r="U5" s="76">
        <f>U2-U3</f>
        <v>32.01</v>
      </c>
      <c r="V5" s="60">
        <f>U5/T5-1</f>
        <v>0.19129140305173054</v>
      </c>
      <c r="W5" s="60">
        <f>U5/Q5-1</f>
        <v>0.32272727272727275</v>
      </c>
      <c r="X5" s="4"/>
    </row>
    <row r="6" spans="1:24" s="2" customFormat="1" ht="15.6" x14ac:dyDescent="0.3">
      <c r="A6" s="62" t="s">
        <v>86</v>
      </c>
      <c r="B6" s="61">
        <f t="shared" ref="B6:M6" si="4">B5/B2</f>
        <v>0.57413503307660008</v>
      </c>
      <c r="C6" s="61">
        <f t="shared" si="4"/>
        <v>0.55826629459618904</v>
      </c>
      <c r="D6" s="61">
        <f t="shared" si="4"/>
        <v>0.48978699640527423</v>
      </c>
      <c r="E6" s="62">
        <f t="shared" si="4"/>
        <v>0.55025528811086799</v>
      </c>
      <c r="F6" s="61">
        <f t="shared" si="4"/>
        <v>0.5787267099682607</v>
      </c>
      <c r="G6" s="62">
        <f t="shared" si="4"/>
        <v>0.58300810567397177</v>
      </c>
      <c r="H6" s="62">
        <f t="shared" si="4"/>
        <v>0.5912334352701325</v>
      </c>
      <c r="I6" s="62">
        <f t="shared" si="4"/>
        <v>0.51145634202045365</v>
      </c>
      <c r="J6" s="62">
        <f t="shared" si="4"/>
        <v>0.58257142857142863</v>
      </c>
      <c r="K6" s="62">
        <f t="shared" si="4"/>
        <v>0.49639942390782527</v>
      </c>
      <c r="L6" s="62">
        <f t="shared" si="4"/>
        <v>0.42314857941313466</v>
      </c>
      <c r="M6" s="62">
        <f t="shared" si="4"/>
        <v>0.58859152178159801</v>
      </c>
      <c r="N6" s="62">
        <f t="shared" ref="N6:U6" si="5">N5/N2</f>
        <v>0.66706302021403097</v>
      </c>
      <c r="O6" s="62">
        <f t="shared" si="5"/>
        <v>0.6442590775269873</v>
      </c>
      <c r="P6" s="62">
        <f t="shared" si="5"/>
        <v>0.57132298595713227</v>
      </c>
      <c r="Q6" s="62">
        <f t="shared" ref="Q6:T6" si="6">Q5/Q2</f>
        <v>0.53658536585365846</v>
      </c>
      <c r="R6" s="62">
        <f t="shared" si="6"/>
        <v>0.72482925754571492</v>
      </c>
      <c r="S6" s="62">
        <f t="shared" si="6"/>
        <v>0.49578900709219864</v>
      </c>
      <c r="T6" s="62">
        <f t="shared" si="6"/>
        <v>0.63672985781990521</v>
      </c>
      <c r="U6" s="63">
        <f t="shared" si="5"/>
        <v>0.63448959365708613</v>
      </c>
      <c r="V6" s="61">
        <f>U6-T6</f>
        <v>-2.2402641628190834E-3</v>
      </c>
      <c r="W6" s="61">
        <f>U6-Q6</f>
        <v>9.7904227803427668E-2</v>
      </c>
      <c r="X6" s="4"/>
    </row>
    <row r="7" spans="1:24" ht="15.6" x14ac:dyDescent="0.3">
      <c r="A7" s="59" t="s">
        <v>87</v>
      </c>
      <c r="B7" s="59">
        <v>14.340249999999999</v>
      </c>
      <c r="C7" s="59">
        <v>18.378350000000001</v>
      </c>
      <c r="D7" s="59">
        <v>20.219360000000002</v>
      </c>
      <c r="E7" s="38">
        <v>20.689</v>
      </c>
      <c r="F7" s="59">
        <v>18.545750000000002</v>
      </c>
      <c r="G7" s="38">
        <v>20.45</v>
      </c>
      <c r="H7" s="38">
        <v>21.03</v>
      </c>
      <c r="I7" s="38">
        <v>20.414249999999996</v>
      </c>
      <c r="J7" s="38">
        <v>20.77</v>
      </c>
      <c r="K7" s="38">
        <v>24.17</v>
      </c>
      <c r="L7" s="38">
        <f>67.67-J7-K7</f>
        <v>22.730000000000004</v>
      </c>
      <c r="M7" s="38">
        <v>32.399999999999991</v>
      </c>
      <c r="N7" s="38">
        <v>24.8</v>
      </c>
      <c r="O7" s="38">
        <v>25.48</v>
      </c>
      <c r="P7" s="38">
        <v>24.3</v>
      </c>
      <c r="Q7" s="38">
        <v>31.47</v>
      </c>
      <c r="R7" s="38">
        <v>27.11</v>
      </c>
      <c r="S7" s="38">
        <v>25.68</v>
      </c>
      <c r="T7" s="82">
        <v>25.62</v>
      </c>
      <c r="U7" s="76">
        <v>29.73</v>
      </c>
      <c r="V7" s="60">
        <f>U7/T7-1</f>
        <v>0.16042154566744737</v>
      </c>
      <c r="W7" s="60">
        <f>U7/Q7-1</f>
        <v>-5.529075309818865E-2</v>
      </c>
      <c r="X7" s="4"/>
    </row>
    <row r="8" spans="1:24" s="2" customFormat="1" ht="15.6" x14ac:dyDescent="0.3">
      <c r="A8" s="89" t="s">
        <v>88</v>
      </c>
      <c r="B8" s="61">
        <f t="shared" ref="B8:G8" si="7">B7/B2</f>
        <v>0.65038627917503067</v>
      </c>
      <c r="C8" s="61">
        <f t="shared" si="7"/>
        <v>0.59023260399769151</v>
      </c>
      <c r="D8" s="61">
        <f t="shared" si="7"/>
        <v>0.60543984860530342</v>
      </c>
      <c r="E8" s="62">
        <f t="shared" si="7"/>
        <v>0.60361779722830056</v>
      </c>
      <c r="F8" s="61">
        <f t="shared" si="7"/>
        <v>0.60865585538042166</v>
      </c>
      <c r="G8" s="62">
        <f t="shared" si="7"/>
        <v>0.61392975082557788</v>
      </c>
      <c r="H8" s="62">
        <f t="shared" ref="H8:I8" si="8">H7/H2</f>
        <v>0.53593272171253825</v>
      </c>
      <c r="I8" s="62">
        <f t="shared" si="8"/>
        <v>0.51971118118920079</v>
      </c>
      <c r="J8" s="62">
        <f>J7/J2</f>
        <v>0.59342857142857142</v>
      </c>
      <c r="K8" s="62">
        <f>K7/K2</f>
        <v>0.58017282765242451</v>
      </c>
      <c r="L8" s="62">
        <f>L7/L2</f>
        <v>0.52934326967862144</v>
      </c>
      <c r="M8" s="62">
        <f t="shared" ref="M8:U8" si="9">M7/M2</f>
        <v>0.63293612033600299</v>
      </c>
      <c r="N8" s="62">
        <f t="shared" si="9"/>
        <v>0.58977407847800245</v>
      </c>
      <c r="O8" s="62">
        <f t="shared" si="9"/>
        <v>0.62512266928361138</v>
      </c>
      <c r="P8" s="62">
        <f t="shared" si="9"/>
        <v>0.59866962305986693</v>
      </c>
      <c r="Q8" s="62">
        <f t="shared" ref="Q8:T8" si="10">Q7/Q2</f>
        <v>0.69778270509977824</v>
      </c>
      <c r="R8" s="62">
        <f t="shared" si="10"/>
        <v>0.59726812073143865</v>
      </c>
      <c r="S8" s="62">
        <f t="shared" si="10"/>
        <v>0.56914893617021267</v>
      </c>
      <c r="T8" s="62">
        <f t="shared" si="10"/>
        <v>0.60710900473933649</v>
      </c>
      <c r="U8" s="63">
        <f t="shared" si="9"/>
        <v>0.58929633300297324</v>
      </c>
      <c r="V8" s="61">
        <f>U8-T8</f>
        <v>-1.781267173636325E-2</v>
      </c>
      <c r="W8" s="61">
        <f>U8-Q8</f>
        <v>-0.10848637209680501</v>
      </c>
      <c r="X8" s="4"/>
    </row>
    <row r="9" spans="1:24" s="4" customFormat="1" ht="15.6" x14ac:dyDescent="0.3">
      <c r="A9" s="34" t="s">
        <v>89</v>
      </c>
      <c r="B9" s="34">
        <v>7.7085699999999999</v>
      </c>
      <c r="C9" s="34">
        <v>12.759119999999999</v>
      </c>
      <c r="D9" s="34">
        <v>13.17679</v>
      </c>
      <c r="E9" s="35">
        <v>13.586</v>
      </c>
      <c r="F9" s="34">
        <v>11.92426</v>
      </c>
      <c r="G9" s="35">
        <v>12.86</v>
      </c>
      <c r="H9" s="35">
        <v>18.21</v>
      </c>
      <c r="I9" s="35">
        <v>18.865739999999995</v>
      </c>
      <c r="J9" s="35">
        <v>14.23</v>
      </c>
      <c r="K9" s="35">
        <v>17.48</v>
      </c>
      <c r="L9" s="35">
        <f>51.92-J9-K9</f>
        <v>20.209999999999997</v>
      </c>
      <c r="M9" s="35">
        <v>18.799999999999994</v>
      </c>
      <c r="N9" s="35">
        <v>17.25</v>
      </c>
      <c r="O9" s="35">
        <v>15.29</v>
      </c>
      <c r="P9" s="35">
        <v>16.29</v>
      </c>
      <c r="Q9" s="35">
        <v>13.62</v>
      </c>
      <c r="R9" s="35">
        <v>18.28</v>
      </c>
      <c r="S9" s="35">
        <v>19.440000000000001</v>
      </c>
      <c r="T9" s="80">
        <v>16.57</v>
      </c>
      <c r="U9" s="77">
        <v>20.72</v>
      </c>
      <c r="V9" s="52">
        <f>U9/T9-1</f>
        <v>0.25045262522631262</v>
      </c>
      <c r="W9" s="52">
        <f>U9/Q9-1</f>
        <v>0.52129221732745967</v>
      </c>
    </row>
    <row r="10" spans="1:24" s="31" customFormat="1" ht="15.6" x14ac:dyDescent="0.3">
      <c r="A10" s="62" t="s">
        <v>90</v>
      </c>
      <c r="B10" s="62">
        <f t="shared" ref="B10:G10" si="11">B9/B2</f>
        <v>0.34961372082496933</v>
      </c>
      <c r="C10" s="62">
        <f t="shared" si="11"/>
        <v>0.40976739600230844</v>
      </c>
      <c r="D10" s="62">
        <f t="shared" si="11"/>
        <v>0.39456015139469675</v>
      </c>
      <c r="E10" s="62">
        <f t="shared" si="11"/>
        <v>0.3963822027716995</v>
      </c>
      <c r="F10" s="62">
        <f t="shared" si="11"/>
        <v>0.39134414461957845</v>
      </c>
      <c r="G10" s="62">
        <f t="shared" si="11"/>
        <v>0.38607024917442206</v>
      </c>
      <c r="H10" s="62">
        <f t="shared" ref="H10:M10" si="12">H9/H2</f>
        <v>0.46406727828746175</v>
      </c>
      <c r="I10" s="62">
        <f t="shared" si="12"/>
        <v>0.48028881881079888</v>
      </c>
      <c r="J10" s="62">
        <f t="shared" si="12"/>
        <v>0.40657142857142858</v>
      </c>
      <c r="K10" s="62">
        <f t="shared" si="12"/>
        <v>0.41958713394143066</v>
      </c>
      <c r="L10" s="62">
        <f t="shared" si="12"/>
        <v>0.47065673032137861</v>
      </c>
      <c r="M10" s="62">
        <f t="shared" si="12"/>
        <v>0.36725923031842145</v>
      </c>
      <c r="N10" s="62">
        <f t="shared" ref="N10:U10" si="13">N9/N2</f>
        <v>0.41022592152199766</v>
      </c>
      <c r="O10" s="62">
        <f t="shared" si="13"/>
        <v>0.37512266928361138</v>
      </c>
      <c r="P10" s="62">
        <f t="shared" si="13"/>
        <v>0.40133037694013296</v>
      </c>
      <c r="Q10" s="62">
        <f t="shared" ref="Q10:T10" si="14">Q9/Q2</f>
        <v>0.30199556541019951</v>
      </c>
      <c r="R10" s="62">
        <f t="shared" si="14"/>
        <v>0.40273187926856135</v>
      </c>
      <c r="S10" s="62">
        <f t="shared" si="14"/>
        <v>0.43085106382978722</v>
      </c>
      <c r="T10" s="62">
        <f t="shared" si="14"/>
        <v>0.39265402843601893</v>
      </c>
      <c r="U10" s="63">
        <f t="shared" si="13"/>
        <v>0.41070366699702671</v>
      </c>
      <c r="V10" s="61">
        <f>U10-T10</f>
        <v>1.8049638561007775E-2</v>
      </c>
      <c r="W10" s="61">
        <f>U10-Q10</f>
        <v>0.1087081015868272</v>
      </c>
      <c r="X10" s="29"/>
    </row>
    <row r="11" spans="1:24" ht="15.6" x14ac:dyDescent="0.3">
      <c r="A11" s="59" t="s">
        <v>91</v>
      </c>
      <c r="B11" s="59">
        <v>0.39284999999999998</v>
      </c>
      <c r="C11" s="59">
        <v>1.208E-2</v>
      </c>
      <c r="D11" s="59">
        <v>0.66849999999999998</v>
      </c>
      <c r="E11" s="38">
        <v>1.0029999999999999</v>
      </c>
      <c r="F11" s="59">
        <v>0.39810000000000001</v>
      </c>
      <c r="G11" s="38">
        <v>0.27</v>
      </c>
      <c r="H11" s="38">
        <v>0.63</v>
      </c>
      <c r="I11" s="38">
        <v>2.0019</v>
      </c>
      <c r="J11" s="38">
        <v>0.89</v>
      </c>
      <c r="K11" s="38">
        <v>0.32</v>
      </c>
      <c r="L11" s="38">
        <f>1.69-J11-K11</f>
        <v>0.47999999999999993</v>
      </c>
      <c r="M11" s="38">
        <v>1.3499999999999999</v>
      </c>
      <c r="N11" s="38">
        <v>0.44</v>
      </c>
      <c r="O11" s="38">
        <v>0.82</v>
      </c>
      <c r="P11" s="38">
        <v>0.54</v>
      </c>
      <c r="Q11" s="38">
        <v>0.99</v>
      </c>
      <c r="R11" s="38">
        <v>0.36</v>
      </c>
      <c r="S11" s="38">
        <v>1.52</v>
      </c>
      <c r="T11" s="29">
        <v>3.2</v>
      </c>
      <c r="U11" s="7">
        <v>0.67</v>
      </c>
      <c r="V11" s="60">
        <f>U11/T11-1</f>
        <v>-0.79062500000000002</v>
      </c>
      <c r="W11" s="60">
        <f>U11/Q11-1</f>
        <v>-0.3232323232323232</v>
      </c>
      <c r="X11" s="4"/>
    </row>
    <row r="12" spans="1:24" ht="15.6" x14ac:dyDescent="0.3">
      <c r="A12" s="59" t="s">
        <v>92</v>
      </c>
      <c r="B12" s="59">
        <v>5.5493600000000001</v>
      </c>
      <c r="C12" s="59">
        <v>7.50021</v>
      </c>
      <c r="D12" s="59">
        <v>8.3685799999999997</v>
      </c>
      <c r="E12" s="38">
        <v>8.99</v>
      </c>
      <c r="F12" s="59">
        <v>6.9743899999999996</v>
      </c>
      <c r="G12" s="38">
        <v>7.64</v>
      </c>
      <c r="H12" s="38">
        <v>11.76</v>
      </c>
      <c r="I12" s="38">
        <v>9.8556099999999969</v>
      </c>
      <c r="J12" s="38">
        <v>9.5399999999999991</v>
      </c>
      <c r="K12" s="38">
        <v>10.95</v>
      </c>
      <c r="L12" s="38">
        <f>32.73-J12-K12</f>
        <v>12.239999999999998</v>
      </c>
      <c r="M12" s="38">
        <v>10.240000000000002</v>
      </c>
      <c r="N12" s="38">
        <v>10.19</v>
      </c>
      <c r="O12" s="38">
        <v>11.6</v>
      </c>
      <c r="P12" s="38">
        <v>11</v>
      </c>
      <c r="Q12" s="38">
        <v>13.99</v>
      </c>
      <c r="R12" s="38">
        <v>12.05</v>
      </c>
      <c r="S12" s="38">
        <v>12.83</v>
      </c>
      <c r="T12" s="30">
        <v>9.98</v>
      </c>
      <c r="U12" s="8">
        <v>13.34</v>
      </c>
      <c r="V12" s="60">
        <f>U12/T12-1</f>
        <v>0.33667334669338667</v>
      </c>
      <c r="W12" s="60">
        <f>U12/Q12-1</f>
        <v>-4.6461758398856357E-2</v>
      </c>
      <c r="X12" s="4"/>
    </row>
    <row r="13" spans="1:24" s="2" customFormat="1" ht="15.6" x14ac:dyDescent="0.3">
      <c r="A13" s="89" t="s">
        <v>93</v>
      </c>
      <c r="B13" s="61">
        <f t="shared" ref="B13:M13" si="15">B12/B2</f>
        <v>0.25168512419258721</v>
      </c>
      <c r="C13" s="61">
        <f t="shared" si="15"/>
        <v>0.24087409799190493</v>
      </c>
      <c r="D13" s="61">
        <f t="shared" si="15"/>
        <v>0.25058517224290822</v>
      </c>
      <c r="E13" s="62">
        <f t="shared" si="15"/>
        <v>0.26229029905178702</v>
      </c>
      <c r="F13" s="61">
        <f t="shared" si="15"/>
        <v>0.22889359077991769</v>
      </c>
      <c r="G13" s="62">
        <f t="shared" si="15"/>
        <v>0.22936055238667064</v>
      </c>
      <c r="H13" s="62">
        <f t="shared" si="15"/>
        <v>0.29969418960244648</v>
      </c>
      <c r="I13" s="62">
        <f t="shared" si="15"/>
        <v>0.25090663210453962</v>
      </c>
      <c r="J13" s="62">
        <f t="shared" si="15"/>
        <v>0.27257142857142852</v>
      </c>
      <c r="K13" s="62">
        <f t="shared" si="15"/>
        <v>0.2628420547287566</v>
      </c>
      <c r="L13" s="62">
        <f t="shared" si="15"/>
        <v>0.28504890544946437</v>
      </c>
      <c r="M13" s="62">
        <f t="shared" si="15"/>
        <v>0.20003907013088498</v>
      </c>
      <c r="N13" s="62">
        <f t="shared" ref="N13:U13" si="16">N12/N2</f>
        <v>0.2423305588585018</v>
      </c>
      <c r="O13" s="62">
        <f t="shared" si="16"/>
        <v>0.28459273797841023</v>
      </c>
      <c r="P13" s="62">
        <f t="shared" si="16"/>
        <v>0.27100271002710025</v>
      </c>
      <c r="Q13" s="62">
        <f t="shared" ref="Q13:T13" si="17">Q12/Q2</f>
        <v>0.31019955654101994</v>
      </c>
      <c r="R13" s="62">
        <f t="shared" si="17"/>
        <v>0.26547697730777703</v>
      </c>
      <c r="S13" s="62">
        <f t="shared" si="17"/>
        <v>0.28435283687943258</v>
      </c>
      <c r="T13" s="31">
        <f t="shared" si="17"/>
        <v>0.23649289099526066</v>
      </c>
      <c r="U13" s="9">
        <f t="shared" si="16"/>
        <v>0.26442021803766103</v>
      </c>
      <c r="V13" s="61">
        <f>U13-T13</f>
        <v>2.7927327042400363E-2</v>
      </c>
      <c r="W13" s="61">
        <f>U13-Q13</f>
        <v>-4.5779338503358913E-2</v>
      </c>
      <c r="X13" s="4"/>
    </row>
    <row r="14" spans="1:24" ht="15.6" x14ac:dyDescent="0.3">
      <c r="A14" s="10" t="s">
        <v>94</v>
      </c>
      <c r="B14" s="59">
        <v>2.9874100000000001</v>
      </c>
      <c r="C14" s="59">
        <v>4.1910499999999997</v>
      </c>
      <c r="D14" s="59">
        <v>2.6489500000000001</v>
      </c>
      <c r="E14" s="38">
        <v>2.8969999999999998</v>
      </c>
      <c r="F14" s="59">
        <v>4.37737</v>
      </c>
      <c r="G14" s="38">
        <v>4.18</v>
      </c>
      <c r="H14" s="38">
        <v>5.0599999999999996</v>
      </c>
      <c r="I14" s="38">
        <v>6.2626300000000006</v>
      </c>
      <c r="J14" s="38">
        <v>4.72</v>
      </c>
      <c r="K14" s="38">
        <v>4.67</v>
      </c>
      <c r="L14" s="38">
        <f>14.88-J14-K14</f>
        <v>5.49</v>
      </c>
      <c r="M14" s="38">
        <v>5.3800000000000026</v>
      </c>
      <c r="N14" s="38">
        <v>5.62</v>
      </c>
      <c r="O14" s="38">
        <v>6.1</v>
      </c>
      <c r="P14" s="38">
        <v>5.2</v>
      </c>
      <c r="Q14" s="38">
        <v>6.21</v>
      </c>
      <c r="R14" s="38">
        <v>5.37</v>
      </c>
      <c r="S14" s="38">
        <v>4.3899999999999997</v>
      </c>
      <c r="T14" s="30">
        <v>5.91</v>
      </c>
      <c r="U14" s="8">
        <v>6.28</v>
      </c>
      <c r="V14" s="60">
        <f>U14/T14-1</f>
        <v>6.2605752961082839E-2</v>
      </c>
      <c r="W14" s="60">
        <f>U14/Q14-1</f>
        <v>1.1272141706924366E-2</v>
      </c>
      <c r="X14" s="4"/>
    </row>
    <row r="15" spans="1:24" s="2" customFormat="1" ht="15.6" x14ac:dyDescent="0.3">
      <c r="A15" s="89" t="s">
        <v>95</v>
      </c>
      <c r="B15" s="61">
        <f t="shared" ref="B15:G15" si="18">B14/B2</f>
        <v>0.13549069746136075</v>
      </c>
      <c r="C15" s="61">
        <f t="shared" si="18"/>
        <v>0.13459828303327148</v>
      </c>
      <c r="D15" s="61">
        <f t="shared" si="18"/>
        <v>7.9319023300590041E-2</v>
      </c>
      <c r="E15" s="62">
        <f t="shared" si="18"/>
        <v>8.4522246535375642E-2</v>
      </c>
      <c r="F15" s="61">
        <f t="shared" si="18"/>
        <v>0.14366158724595102</v>
      </c>
      <c r="G15" s="62">
        <f t="shared" si="18"/>
        <v>0.12548784148904232</v>
      </c>
      <c r="H15" s="62">
        <f t="shared" ref="H15:I15" si="19">H14/H2</f>
        <v>0.12895005096839957</v>
      </c>
      <c r="I15" s="62">
        <f t="shared" si="19"/>
        <v>0.15943563122088369</v>
      </c>
      <c r="J15" s="62">
        <f>J14/J2</f>
        <v>0.13485714285714284</v>
      </c>
      <c r="K15" s="62">
        <f>K14/K2</f>
        <v>0.11209793566970716</v>
      </c>
      <c r="L15" s="62">
        <f>L14/L2</f>
        <v>0.12785281788542152</v>
      </c>
      <c r="M15" s="62">
        <f t="shared" ref="M15:U15" si="20">M14/M2</f>
        <v>0.10509865208048452</v>
      </c>
      <c r="N15" s="62">
        <f t="shared" si="20"/>
        <v>0.13365041617122475</v>
      </c>
      <c r="O15" s="62">
        <f t="shared" si="20"/>
        <v>0.14965652600588814</v>
      </c>
      <c r="P15" s="62">
        <f t="shared" si="20"/>
        <v>0.12811037201281103</v>
      </c>
      <c r="Q15" s="62">
        <f t="shared" ref="Q15:T15" si="21">Q14/Q2</f>
        <v>0.1376940133037694</v>
      </c>
      <c r="R15" s="62">
        <f t="shared" si="21"/>
        <v>0.11830799735624586</v>
      </c>
      <c r="S15" s="62">
        <f t="shared" si="21"/>
        <v>9.7296099290780119E-2</v>
      </c>
      <c r="T15" s="31">
        <f t="shared" si="21"/>
        <v>0.14004739336492891</v>
      </c>
      <c r="U15" s="9">
        <f t="shared" si="20"/>
        <v>0.1244796828543112</v>
      </c>
      <c r="V15" s="61">
        <f>U15-T15</f>
        <v>-1.5567710510617713E-2</v>
      </c>
      <c r="W15" s="61">
        <f>U15-Q15</f>
        <v>-1.3214330449458203E-2</v>
      </c>
      <c r="X15" s="4"/>
    </row>
    <row r="16" spans="1:24" ht="15.6" x14ac:dyDescent="0.3">
      <c r="A16" s="10" t="s">
        <v>91</v>
      </c>
      <c r="B16" s="59">
        <v>4.4339999999999997E-2</v>
      </c>
      <c r="C16" s="59">
        <v>5.2929999999999998E-2</v>
      </c>
      <c r="D16" s="59">
        <v>1.25789</v>
      </c>
      <c r="E16" s="38">
        <v>-0.67600000000000005</v>
      </c>
      <c r="F16" s="59">
        <v>0.26418999999999998</v>
      </c>
      <c r="G16" s="38">
        <v>0.2</v>
      </c>
      <c r="H16" s="38">
        <v>0.3</v>
      </c>
      <c r="I16" s="38">
        <v>1.0358100000000001</v>
      </c>
      <c r="J16" s="38">
        <v>0.05</v>
      </c>
      <c r="K16" s="38">
        <v>0.28999999999999998</v>
      </c>
      <c r="L16" s="38">
        <f>0.65-J16-K16</f>
        <v>0.31</v>
      </c>
      <c r="M16" s="38">
        <v>0.86999999999999988</v>
      </c>
      <c r="N16" s="38">
        <v>0.4</v>
      </c>
      <c r="O16" s="38">
        <v>0.2</v>
      </c>
      <c r="P16" s="38">
        <v>0.1</v>
      </c>
      <c r="Q16" s="38">
        <v>0.31</v>
      </c>
      <c r="R16" s="38">
        <v>0.11</v>
      </c>
      <c r="S16" s="38">
        <v>0.63</v>
      </c>
      <c r="T16" s="29">
        <v>0.28999999999999998</v>
      </c>
      <c r="U16" s="7">
        <v>0.36</v>
      </c>
      <c r="V16" s="60">
        <f>U16/T16-1</f>
        <v>0.24137931034482762</v>
      </c>
      <c r="W16" s="60">
        <f>U16/Q16-1</f>
        <v>0.16129032258064502</v>
      </c>
      <c r="X16" s="4"/>
    </row>
    <row r="17" spans="1:24" s="4" customFormat="1" ht="15.6" x14ac:dyDescent="0.3">
      <c r="A17" s="34" t="s">
        <v>8</v>
      </c>
      <c r="B17" s="34">
        <v>0.54974999999999996</v>
      </c>
      <c r="C17" s="34">
        <v>2.0346000000000002</v>
      </c>
      <c r="D17" s="34">
        <v>2.6976900000000001</v>
      </c>
      <c r="E17" s="35">
        <v>4.67</v>
      </c>
      <c r="F17" s="34">
        <v>1.9411799999999999</v>
      </c>
      <c r="G17" s="35">
        <v>2.34</v>
      </c>
      <c r="H17" s="35">
        <v>3</v>
      </c>
      <c r="I17" s="35">
        <v>5.0188200000000016</v>
      </c>
      <c r="J17" s="35">
        <v>2.3199999999999998</v>
      </c>
      <c r="K17" s="35">
        <v>3.49</v>
      </c>
      <c r="L17" s="35">
        <v>4.34</v>
      </c>
      <c r="M17" s="35">
        <v>5.6999999999999993</v>
      </c>
      <c r="N17" s="35">
        <f>1.48+1.98</f>
        <v>3.46</v>
      </c>
      <c r="O17" s="35">
        <v>0.28999999999999998</v>
      </c>
      <c r="P17" s="35">
        <v>2.52</v>
      </c>
      <c r="Q17" s="35">
        <v>-3.66</v>
      </c>
      <c r="R17" s="35">
        <v>3.41</v>
      </c>
      <c r="S17" s="35">
        <v>5.36</v>
      </c>
      <c r="T17" s="29">
        <f>T19+2.44</f>
        <v>6.0299999999999994</v>
      </c>
      <c r="U17" s="7">
        <f>U19+2.54</f>
        <v>3.95</v>
      </c>
      <c r="V17" s="52">
        <f>U17/T17-1</f>
        <v>-0.34494195688225526</v>
      </c>
      <c r="W17" s="52">
        <f>U17/Q17-1</f>
        <v>-2.0792349726775958</v>
      </c>
    </row>
    <row r="18" spans="1:24" s="2" customFormat="1" ht="15.6" x14ac:dyDescent="0.3">
      <c r="A18" s="61" t="s">
        <v>96</v>
      </c>
      <c r="B18" s="61">
        <f t="shared" ref="B18:M18" si="22">B17/B2</f>
        <v>2.4933307088542606E-2</v>
      </c>
      <c r="C18" s="61">
        <f t="shared" si="22"/>
        <v>6.5342495713364007E-2</v>
      </c>
      <c r="D18" s="61">
        <f t="shared" si="22"/>
        <v>8.0778472967692388E-2</v>
      </c>
      <c r="E18" s="62">
        <f t="shared" si="22"/>
        <v>0.1362509117432531</v>
      </c>
      <c r="F18" s="61">
        <f t="shared" si="22"/>
        <v>6.3707888510702818E-2</v>
      </c>
      <c r="G18" s="62">
        <f t="shared" si="22"/>
        <v>7.0249174422095453E-2</v>
      </c>
      <c r="H18" s="62">
        <f t="shared" si="22"/>
        <v>7.64525993883792E-2</v>
      </c>
      <c r="I18" s="62">
        <f t="shared" si="22"/>
        <v>0.1277703991268837</v>
      </c>
      <c r="J18" s="62">
        <f t="shared" si="22"/>
        <v>6.6285714285714281E-2</v>
      </c>
      <c r="K18" s="62">
        <f t="shared" si="22"/>
        <v>8.3773403744599143E-2</v>
      </c>
      <c r="L18" s="62">
        <f t="shared" si="22"/>
        <v>0.10107126222636237</v>
      </c>
      <c r="M18" s="62">
        <f t="shared" si="22"/>
        <v>0.11134987302207462</v>
      </c>
      <c r="N18" s="62">
        <f t="shared" ref="N18:U18" si="23">N17/N2</f>
        <v>8.2282996432818084E-2</v>
      </c>
      <c r="O18" s="62">
        <f t="shared" si="23"/>
        <v>7.1148184494602548E-3</v>
      </c>
      <c r="P18" s="62">
        <f t="shared" si="23"/>
        <v>6.2084257206208422E-2</v>
      </c>
      <c r="Q18" s="62">
        <f t="shared" ref="Q18:T18" si="24">Q17/Q2</f>
        <v>-8.1152993348115293E-2</v>
      </c>
      <c r="R18" s="62">
        <f t="shared" si="24"/>
        <v>7.5126679885437322E-2</v>
      </c>
      <c r="S18" s="62">
        <f t="shared" si="24"/>
        <v>0.11879432624113474</v>
      </c>
      <c r="T18" s="31">
        <f t="shared" si="24"/>
        <v>0.14289099526066348</v>
      </c>
      <c r="U18" s="9">
        <f t="shared" si="23"/>
        <v>7.8295341922695744E-2</v>
      </c>
      <c r="V18" s="61">
        <f>U18-T18</f>
        <v>-6.459565333796774E-2</v>
      </c>
      <c r="W18" s="61">
        <f>U18-Q18</f>
        <v>0.15944833527081104</v>
      </c>
      <c r="X18" s="4"/>
    </row>
    <row r="19" spans="1:24" s="4" customFormat="1" ht="15.6" x14ac:dyDescent="0.3">
      <c r="A19" s="34" t="s">
        <v>97</v>
      </c>
      <c r="B19" s="34">
        <v>-0.47969000000000001</v>
      </c>
      <c r="C19" s="34">
        <v>1.02701</v>
      </c>
      <c r="D19" s="34">
        <v>1.5698700000000001</v>
      </c>
      <c r="E19" s="35">
        <v>3.3780000000000001</v>
      </c>
      <c r="F19" s="34">
        <v>0.70640999999999998</v>
      </c>
      <c r="G19" s="35">
        <v>1.1200000000000001</v>
      </c>
      <c r="H19" s="35">
        <v>1.72</v>
      </c>
      <c r="I19" s="35">
        <v>3.7135899999999999</v>
      </c>
      <c r="J19" s="35">
        <v>0.81</v>
      </c>
      <c r="K19" s="35">
        <v>1.89</v>
      </c>
      <c r="L19" s="35">
        <f>5.36-J19-K19</f>
        <v>2.660000000000001</v>
      </c>
      <c r="M19" s="35">
        <v>3.6499999999999986</v>
      </c>
      <c r="N19" s="35">
        <v>1.48</v>
      </c>
      <c r="O19" s="35">
        <v>-1.8</v>
      </c>
      <c r="P19" s="35">
        <v>0.54</v>
      </c>
      <c r="Q19" s="35">
        <v>-5.9</v>
      </c>
      <c r="R19" s="35">
        <v>1.1100000000000001</v>
      </c>
      <c r="S19" s="35">
        <v>3.11</v>
      </c>
      <c r="T19" s="29">
        <v>3.59</v>
      </c>
      <c r="U19" s="7">
        <v>1.41</v>
      </c>
      <c r="V19" s="52">
        <f>U19/T19-1</f>
        <v>-0.60724233983286902</v>
      </c>
      <c r="W19" s="52">
        <f>U19/Q19-1</f>
        <v>-1.2389830508474575</v>
      </c>
    </row>
    <row r="20" spans="1:24" s="2" customFormat="1" ht="15.6" x14ac:dyDescent="0.3">
      <c r="A20" s="61" t="s">
        <v>98</v>
      </c>
      <c r="B20" s="61">
        <f t="shared" ref="B20:G20" si="25">B19/B2</f>
        <v>-2.1755812782724881E-2</v>
      </c>
      <c r="C20" s="61">
        <f t="shared" si="25"/>
        <v>3.2983090790613366E-2</v>
      </c>
      <c r="D20" s="61">
        <f t="shared" si="25"/>
        <v>4.7007514339227729E-2</v>
      </c>
      <c r="E20" s="62">
        <f t="shared" si="25"/>
        <v>9.8555798687089718E-2</v>
      </c>
      <c r="F20" s="61">
        <f t="shared" si="25"/>
        <v>2.3183779723078529E-2</v>
      </c>
      <c r="G20" s="62">
        <f t="shared" si="25"/>
        <v>3.3623536475532873E-2</v>
      </c>
      <c r="H20" s="62">
        <f t="shared" ref="H20:I20" si="26">H19/H2</f>
        <v>4.383282364933741E-2</v>
      </c>
      <c r="I20" s="62">
        <f t="shared" si="26"/>
        <v>9.4541521013625493E-2</v>
      </c>
      <c r="J20" s="62">
        <f>J19/J2</f>
        <v>2.3142857142857146E-2</v>
      </c>
      <c r="K20" s="62">
        <f>K19/K2</f>
        <v>4.5367258761401824E-2</v>
      </c>
      <c r="L20" s="62">
        <f>L19/L2</f>
        <v>6.1946902654867284E-2</v>
      </c>
      <c r="M20" s="62">
        <f t="shared" ref="M20:U20" si="27">M19/M2</f>
        <v>7.130298886501267E-2</v>
      </c>
      <c r="N20" s="62">
        <f t="shared" si="27"/>
        <v>3.5196195005945306E-2</v>
      </c>
      <c r="O20" s="62">
        <f t="shared" si="27"/>
        <v>-4.416094210009814E-2</v>
      </c>
      <c r="P20" s="62">
        <f t="shared" si="27"/>
        <v>1.3303769401330377E-2</v>
      </c>
      <c r="Q20" s="62">
        <f t="shared" ref="Q20:T20" si="28">Q19/Q2</f>
        <v>-0.13082039911308205</v>
      </c>
      <c r="R20" s="62">
        <f t="shared" si="28"/>
        <v>2.4454725710508926E-2</v>
      </c>
      <c r="S20" s="62">
        <f t="shared" si="28"/>
        <v>6.8927304964538999E-2</v>
      </c>
      <c r="T20" s="31">
        <f t="shared" si="28"/>
        <v>8.5071090047393355E-2</v>
      </c>
      <c r="U20" s="9">
        <f t="shared" si="27"/>
        <v>2.7948463825569869E-2</v>
      </c>
      <c r="V20" s="61">
        <f>U20-T20</f>
        <v>-5.7122626221823486E-2</v>
      </c>
      <c r="W20" s="61">
        <f>U20-Q20</f>
        <v>0.15876886293865192</v>
      </c>
      <c r="X20" s="4"/>
    </row>
    <row r="21" spans="1:24" ht="15.6" x14ac:dyDescent="0.3">
      <c r="A21" s="59" t="s">
        <v>99</v>
      </c>
      <c r="B21" s="59">
        <v>5.79E-3</v>
      </c>
      <c r="C21" s="59">
        <v>0.90966999999999998</v>
      </c>
      <c r="D21" s="59">
        <v>-0.11751</v>
      </c>
      <c r="E21" s="38">
        <v>-0.76600000000000001</v>
      </c>
      <c r="F21" s="59">
        <v>0.27355000000000002</v>
      </c>
      <c r="G21" s="38">
        <v>0.55000000000000004</v>
      </c>
      <c r="H21" s="38">
        <v>0.2</v>
      </c>
      <c r="I21" s="38">
        <v>1.12645</v>
      </c>
      <c r="J21" s="38">
        <v>0.41</v>
      </c>
      <c r="K21" s="38">
        <v>0.1</v>
      </c>
      <c r="L21" s="38">
        <v>0</v>
      </c>
      <c r="M21" s="38">
        <v>-0.23999999999999996</v>
      </c>
      <c r="N21" s="38">
        <v>0</v>
      </c>
      <c r="O21" s="38">
        <v>0.1</v>
      </c>
      <c r="P21" s="38">
        <v>1.33</v>
      </c>
      <c r="Q21" s="38">
        <v>1.86</v>
      </c>
      <c r="R21" s="38">
        <v>2.64</v>
      </c>
      <c r="S21" s="38">
        <v>0.13</v>
      </c>
      <c r="T21" s="29">
        <v>0.1</v>
      </c>
      <c r="U21" s="7">
        <v>0.53</v>
      </c>
      <c r="V21" s="60">
        <f t="shared" ref="V21:V25" si="29">U21/T21-1</f>
        <v>4.3</v>
      </c>
      <c r="W21" s="60">
        <f t="shared" ref="W21:W25" si="30">U21/Q21-1</f>
        <v>-0.71505376344086025</v>
      </c>
      <c r="X21" s="4"/>
    </row>
    <row r="22" spans="1:24" ht="15.6" x14ac:dyDescent="0.3">
      <c r="A22" s="59" t="s">
        <v>100</v>
      </c>
      <c r="B22" s="59">
        <v>0.31764999999999999</v>
      </c>
      <c r="C22" s="59">
        <v>0.45889999999999997</v>
      </c>
      <c r="D22" s="59">
        <v>0.22414999999999999</v>
      </c>
      <c r="E22" s="38">
        <v>0.56599999999999995</v>
      </c>
      <c r="F22" s="59">
        <v>0.15847</v>
      </c>
      <c r="G22" s="38">
        <v>0.18</v>
      </c>
      <c r="H22" s="38">
        <v>0.19</v>
      </c>
      <c r="I22" s="38">
        <v>0.21153</v>
      </c>
      <c r="J22" s="38">
        <v>0.23</v>
      </c>
      <c r="K22" s="38">
        <v>0.26</v>
      </c>
      <c r="L22" s="38">
        <f>0.82-J22-K22+0.26</f>
        <v>0.59</v>
      </c>
      <c r="M22" s="38">
        <v>3.1500000000000004</v>
      </c>
      <c r="N22" s="38">
        <v>0.4</v>
      </c>
      <c r="O22" s="38">
        <v>0.33</v>
      </c>
      <c r="P22" s="38">
        <v>0.78</v>
      </c>
      <c r="Q22" s="38">
        <v>1.05</v>
      </c>
      <c r="R22" s="38">
        <v>0.43</v>
      </c>
      <c r="S22" s="38">
        <v>0.31</v>
      </c>
      <c r="T22" s="29">
        <f>2.05+0.6+0.1</f>
        <v>2.75</v>
      </c>
      <c r="U22" s="7">
        <v>0.21</v>
      </c>
      <c r="V22" s="60">
        <f t="shared" si="29"/>
        <v>-0.92363636363636359</v>
      </c>
      <c r="W22" s="60">
        <f t="shared" si="30"/>
        <v>-0.8</v>
      </c>
      <c r="X22" s="4"/>
    </row>
    <row r="23" spans="1:24" ht="15.6" x14ac:dyDescent="0.3">
      <c r="A23" s="59" t="s">
        <v>101</v>
      </c>
      <c r="B23" s="59">
        <v>-0.79154999999999998</v>
      </c>
      <c r="C23" s="59">
        <v>1.4777800000000001</v>
      </c>
      <c r="D23" s="59">
        <v>1.22821</v>
      </c>
      <c r="E23" s="38">
        <v>2.0459999999999998</v>
      </c>
      <c r="F23" s="59">
        <v>0.82149000000000005</v>
      </c>
      <c r="G23" s="38">
        <v>1.49</v>
      </c>
      <c r="H23" s="38">
        <v>1.73</v>
      </c>
      <c r="I23" s="38">
        <v>4.6285100000000003</v>
      </c>
      <c r="J23" s="38">
        <v>0.99</v>
      </c>
      <c r="K23" s="38">
        <v>1.73</v>
      </c>
      <c r="L23" s="38">
        <f>4.79-J23-K23</f>
        <v>2.0699999999999998</v>
      </c>
      <c r="M23" s="38">
        <v>0.25</v>
      </c>
      <c r="N23" s="38">
        <v>1.08</v>
      </c>
      <c r="O23" s="38">
        <v>-2.0299999999999998</v>
      </c>
      <c r="P23" s="38">
        <v>1.08</v>
      </c>
      <c r="Q23" s="38">
        <v>-5.07</v>
      </c>
      <c r="R23" s="38">
        <v>3.3109999999999999</v>
      </c>
      <c r="S23" s="38">
        <v>2.95</v>
      </c>
      <c r="T23" s="30">
        <v>0.94</v>
      </c>
      <c r="U23" s="8">
        <v>1.73</v>
      </c>
      <c r="V23" s="60">
        <f t="shared" si="29"/>
        <v>0.84042553191489366</v>
      </c>
      <c r="W23" s="60">
        <f t="shared" si="30"/>
        <v>-1.3412228796844181</v>
      </c>
      <c r="X23" s="4"/>
    </row>
    <row r="24" spans="1:24" ht="15.6" x14ac:dyDescent="0.3">
      <c r="A24" s="59" t="s">
        <v>102</v>
      </c>
      <c r="B24" s="59">
        <v>-3.9579999999999997E-2</v>
      </c>
      <c r="C24" s="59">
        <v>-2.2599999999999999E-3</v>
      </c>
      <c r="D24" s="59">
        <v>4.7910000000000001E-2</v>
      </c>
      <c r="E24" s="38">
        <v>0.82199999999999995</v>
      </c>
      <c r="F24" s="59">
        <v>1.49E-3</v>
      </c>
      <c r="G24" s="38">
        <v>0</v>
      </c>
      <c r="H24" s="38">
        <v>0.03</v>
      </c>
      <c r="I24" s="38">
        <v>1.64</v>
      </c>
      <c r="J24" s="38">
        <v>-0.01</v>
      </c>
      <c r="K24" s="38">
        <v>0.2</v>
      </c>
      <c r="L24" s="38">
        <f>-0.11-J24-K24</f>
        <v>-0.30000000000000004</v>
      </c>
      <c r="M24" s="38">
        <v>1.55</v>
      </c>
      <c r="N24" s="38">
        <v>0.01</v>
      </c>
      <c r="O24" s="38">
        <v>-0.13</v>
      </c>
      <c r="P24" s="38">
        <v>-0.62</v>
      </c>
      <c r="Q24" s="38">
        <v>-0.14000000000000001</v>
      </c>
      <c r="R24" s="38">
        <v>0.53</v>
      </c>
      <c r="S24" s="38">
        <v>0.05</v>
      </c>
      <c r="T24" s="30">
        <v>-0.38</v>
      </c>
      <c r="U24" s="8">
        <v>0.23</v>
      </c>
      <c r="V24" s="60">
        <f t="shared" si="29"/>
        <v>-1.6052631578947367</v>
      </c>
      <c r="W24" s="60">
        <f t="shared" si="30"/>
        <v>-2.6428571428571428</v>
      </c>
      <c r="X24" s="4"/>
    </row>
    <row r="25" spans="1:24" ht="15.6" x14ac:dyDescent="0.3">
      <c r="A25" s="59" t="s">
        <v>103</v>
      </c>
      <c r="B25" s="59">
        <v>-0.72724</v>
      </c>
      <c r="C25" s="59">
        <v>1.25088</v>
      </c>
      <c r="D25" s="59">
        <v>1.2783100000000001</v>
      </c>
      <c r="E25" s="38">
        <v>1.224</v>
      </c>
      <c r="F25" s="59">
        <v>0.84189999999999998</v>
      </c>
      <c r="G25" s="38">
        <v>1.3</v>
      </c>
      <c r="H25" s="38">
        <v>1.7</v>
      </c>
      <c r="I25" s="38">
        <v>3.1581000000000001</v>
      </c>
      <c r="J25" s="38">
        <v>1</v>
      </c>
      <c r="K25" s="38">
        <v>1.53</v>
      </c>
      <c r="L25" s="38">
        <f>L23-L24</f>
        <v>2.37</v>
      </c>
      <c r="M25" s="38">
        <v>-1.3</v>
      </c>
      <c r="N25" s="38">
        <v>1.07</v>
      </c>
      <c r="O25" s="38">
        <v>-1.9</v>
      </c>
      <c r="P25" s="38">
        <v>1.71</v>
      </c>
      <c r="Q25" s="38">
        <v>-5.73</v>
      </c>
      <c r="R25" s="38">
        <v>2.78</v>
      </c>
      <c r="S25" s="38">
        <v>2.9</v>
      </c>
      <c r="T25" s="30">
        <v>1.32</v>
      </c>
      <c r="U25" s="8">
        <v>1.5</v>
      </c>
      <c r="V25" s="60">
        <f t="shared" si="29"/>
        <v>0.13636363636363624</v>
      </c>
      <c r="W25" s="60">
        <f t="shared" si="30"/>
        <v>-1.2617801047120418</v>
      </c>
      <c r="X25" s="4"/>
    </row>
    <row r="26" spans="1:24" s="4" customFormat="1" ht="15.6" x14ac:dyDescent="0.3">
      <c r="A26" s="34" t="s">
        <v>104</v>
      </c>
      <c r="B26" s="34">
        <v>-0.73</v>
      </c>
      <c r="C26" s="34">
        <v>1.25088</v>
      </c>
      <c r="D26" s="34">
        <v>1.2783100000000001</v>
      </c>
      <c r="E26" s="35">
        <v>1.224</v>
      </c>
      <c r="F26" s="34">
        <v>0.84189999999999998</v>
      </c>
      <c r="G26" s="35">
        <v>1.3</v>
      </c>
      <c r="H26" s="35">
        <v>2.12</v>
      </c>
      <c r="I26" s="35">
        <v>2.7381000000000002</v>
      </c>
      <c r="J26" s="35">
        <v>1.1399999999999999</v>
      </c>
      <c r="K26" s="35">
        <v>1.43</v>
      </c>
      <c r="L26" s="35">
        <f>5.01-J26-K26</f>
        <v>2.4400000000000004</v>
      </c>
      <c r="M26" s="35">
        <v>-1.4100000000000004</v>
      </c>
      <c r="N26" s="35">
        <v>1.3</v>
      </c>
      <c r="O26" s="35">
        <v>-2.04</v>
      </c>
      <c r="P26" s="35">
        <v>1.1599999999999999</v>
      </c>
      <c r="Q26" s="35">
        <v>-5.27</v>
      </c>
      <c r="R26" s="35">
        <v>1.91</v>
      </c>
      <c r="S26" s="35">
        <v>2.7</v>
      </c>
      <c r="T26" s="30">
        <v>1.81</v>
      </c>
      <c r="U26" s="8">
        <v>1.1000000000000001</v>
      </c>
      <c r="V26" s="52">
        <f>U26/T26-1</f>
        <v>-0.39226519337016574</v>
      </c>
      <c r="W26" s="52">
        <f>U26/Q26-1</f>
        <v>-1.2087286527514232</v>
      </c>
    </row>
    <row r="27" spans="1:24" s="2" customFormat="1" ht="15.6" x14ac:dyDescent="0.3">
      <c r="A27" s="64" t="s">
        <v>105</v>
      </c>
      <c r="B27" s="64">
        <f t="shared" ref="B27:M27" si="31">B26/B2</f>
        <v>-3.3108347748314879E-2</v>
      </c>
      <c r="C27" s="64">
        <f t="shared" si="31"/>
        <v>4.0172820720501698E-2</v>
      </c>
      <c r="D27" s="64">
        <f t="shared" si="31"/>
        <v>3.8277166679392689E-2</v>
      </c>
      <c r="E27" s="65">
        <f t="shared" si="31"/>
        <v>3.5711159737417945E-2</v>
      </c>
      <c r="F27" s="64">
        <f t="shared" si="31"/>
        <v>2.7630447118330452E-2</v>
      </c>
      <c r="G27" s="65">
        <f t="shared" si="31"/>
        <v>3.9027319123386368E-2</v>
      </c>
      <c r="H27" s="65">
        <f t="shared" si="31"/>
        <v>5.4026503567787973E-2</v>
      </c>
      <c r="I27" s="65">
        <f t="shared" si="31"/>
        <v>6.9707247888810553E-2</v>
      </c>
      <c r="J27" s="65">
        <f t="shared" si="31"/>
        <v>3.2571428571428571E-2</v>
      </c>
      <c r="K27" s="65">
        <f t="shared" si="31"/>
        <v>3.4325492078732596E-2</v>
      </c>
      <c r="L27" s="65">
        <f t="shared" si="31"/>
        <v>5.6823474615742907E-2</v>
      </c>
      <c r="M27" s="65">
        <f t="shared" si="31"/>
        <v>-2.7544442273881625E-2</v>
      </c>
      <c r="N27" s="65">
        <f t="shared" ref="N27:U27" si="32">N26/N2</f>
        <v>3.0915576694411417E-2</v>
      </c>
      <c r="O27" s="65">
        <f t="shared" si="32"/>
        <v>-5.0049067713444556E-2</v>
      </c>
      <c r="P27" s="65">
        <f t="shared" si="32"/>
        <v>2.8578467602857843E-2</v>
      </c>
      <c r="Q27" s="65">
        <f t="shared" ref="Q27:T27" si="33">Q26/Q2</f>
        <v>-0.11685144124168513</v>
      </c>
      <c r="R27" s="65">
        <f t="shared" si="33"/>
        <v>4.2079753249614452E-2</v>
      </c>
      <c r="S27" s="65">
        <f t="shared" si="33"/>
        <v>5.984042553191489E-2</v>
      </c>
      <c r="T27" s="83">
        <f t="shared" si="33"/>
        <v>4.2890995260663506E-2</v>
      </c>
      <c r="U27" s="81">
        <f t="shared" si="32"/>
        <v>2.1803766105054509E-2</v>
      </c>
      <c r="V27" s="61">
        <f>U27-T27</f>
        <v>-2.1087229155608997E-2</v>
      </c>
      <c r="W27" s="61">
        <f>U27-Q27</f>
        <v>0.13865520734673964</v>
      </c>
      <c r="X27" s="4"/>
    </row>
    <row r="28" spans="1:24" ht="15.6" x14ac:dyDescent="0.3">
      <c r="A28" s="88" t="s">
        <v>106</v>
      </c>
      <c r="B28" s="66">
        <v>-0.727746</v>
      </c>
      <c r="C28" s="66">
        <v>1.25088</v>
      </c>
      <c r="D28" s="66">
        <v>1.2783100000000001</v>
      </c>
      <c r="E28" s="67">
        <v>1.208</v>
      </c>
      <c r="F28" s="66">
        <v>0.84189999999999998</v>
      </c>
      <c r="G28" s="67">
        <v>1.3</v>
      </c>
      <c r="H28" s="67">
        <v>2.12</v>
      </c>
      <c r="I28" s="67">
        <v>2.8281000000000001</v>
      </c>
      <c r="J28" s="67">
        <v>1.1399999999999999</v>
      </c>
      <c r="K28" s="67">
        <v>1.43</v>
      </c>
      <c r="L28" s="67">
        <f>L26</f>
        <v>2.4400000000000004</v>
      </c>
      <c r="M28" s="67">
        <v>-0.85999999999999965</v>
      </c>
      <c r="N28" s="67">
        <v>1.3</v>
      </c>
      <c r="O28" s="67">
        <v>-2.04</v>
      </c>
      <c r="P28" s="67">
        <v>1.1599999999999999</v>
      </c>
      <c r="Q28" s="67">
        <v>-6.22</v>
      </c>
      <c r="R28" s="67">
        <v>1.91</v>
      </c>
      <c r="S28" s="67">
        <v>2.7</v>
      </c>
      <c r="T28" s="30">
        <v>1.81</v>
      </c>
      <c r="U28" s="8">
        <v>1.1000000000000001</v>
      </c>
      <c r="V28" s="60">
        <f>U28/T28-1</f>
        <v>-0.39226519337016574</v>
      </c>
      <c r="W28" s="60">
        <f>U28/Q28-1</f>
        <v>-1.1768488745980707</v>
      </c>
      <c r="X28" s="4"/>
    </row>
    <row r="29" spans="1:24" ht="15.6" x14ac:dyDescent="0.3">
      <c r="A29" s="68" t="s">
        <v>107</v>
      </c>
      <c r="B29" s="68">
        <v>-0.1</v>
      </c>
      <c r="C29" s="68">
        <v>0.17</v>
      </c>
      <c r="D29" s="68">
        <v>0.18</v>
      </c>
      <c r="E29" s="69">
        <v>0.17</v>
      </c>
      <c r="F29" s="68">
        <v>0.12</v>
      </c>
      <c r="G29" s="69">
        <v>0.18</v>
      </c>
      <c r="H29" s="69">
        <v>0.28999999999999998</v>
      </c>
      <c r="I29" s="69">
        <v>0.39999999999999997</v>
      </c>
      <c r="J29" s="69">
        <v>0.16</v>
      </c>
      <c r="K29" s="69">
        <v>0.2</v>
      </c>
      <c r="L29" s="69">
        <v>0.34</v>
      </c>
      <c r="M29" s="69">
        <v>-0.12000000000000011</v>
      </c>
      <c r="N29" s="69">
        <v>0.18</v>
      </c>
      <c r="O29" s="69">
        <v>-0.28000000000000003</v>
      </c>
      <c r="P29" s="69">
        <v>0.16</v>
      </c>
      <c r="Q29" s="69">
        <v>-0.87</v>
      </c>
      <c r="R29" s="69">
        <v>0.27</v>
      </c>
      <c r="S29" s="69">
        <v>0.38</v>
      </c>
      <c r="T29" s="69">
        <v>0.25</v>
      </c>
      <c r="U29" s="70">
        <v>0.19</v>
      </c>
      <c r="V29" s="71">
        <f>U29/T29-1</f>
        <v>-0.24</v>
      </c>
      <c r="W29" s="71">
        <f>U29/Q29-1</f>
        <v>-1.2183908045977012</v>
      </c>
      <c r="X29" s="4"/>
    </row>
    <row r="30" spans="1:24" x14ac:dyDescent="0.25">
      <c r="A30" s="42"/>
    </row>
    <row r="31" spans="1:24" x14ac:dyDescent="0.25">
      <c r="A31" s="78"/>
    </row>
    <row r="32" spans="1:24" x14ac:dyDescent="0.25">
      <c r="J32" s="39"/>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35"/>
  <sheetViews>
    <sheetView zoomScaleNormal="100" workbookViewId="0">
      <pane xSplit="1" ySplit="1" topLeftCell="B2" activePane="bottomRight" state="frozenSplit"/>
      <selection pane="topRight" activeCell="B1" sqref="B1"/>
      <selection pane="bottomLeft" activeCell="A2" sqref="A2"/>
      <selection pane="bottomRight" activeCell="G5" sqref="G5"/>
    </sheetView>
  </sheetViews>
  <sheetFormatPr defaultColWidth="10.54296875" defaultRowHeight="15" x14ac:dyDescent="0.25"/>
  <cols>
    <col min="1" max="1" width="54.1796875" style="1" customWidth="1"/>
    <col min="2" max="2" width="10.54296875" style="1" customWidth="1"/>
    <col min="3" max="3" width="10.1796875" style="1" customWidth="1"/>
    <col min="4" max="4" width="10.54296875" style="1" customWidth="1"/>
    <col min="5" max="5" width="10.54296875" style="30" customWidth="1"/>
    <col min="6" max="7" width="10.54296875" style="30"/>
    <col min="8" max="8" width="10.54296875" style="8"/>
    <col min="9" max="9" width="10.54296875" style="3"/>
    <col min="10" max="16384" width="10.54296875" style="1"/>
  </cols>
  <sheetData>
    <row r="1" spans="1:9" s="4" customFormat="1" ht="15.6" x14ac:dyDescent="0.3">
      <c r="A1" s="6" t="s">
        <v>81</v>
      </c>
      <c r="B1" s="33">
        <v>2014</v>
      </c>
      <c r="C1" s="33">
        <v>2015</v>
      </c>
      <c r="D1" s="33">
        <v>2016</v>
      </c>
      <c r="E1" s="33">
        <v>2017</v>
      </c>
      <c r="F1" s="33">
        <v>2018</v>
      </c>
      <c r="G1" s="84">
        <v>2019</v>
      </c>
      <c r="H1" s="49" t="s">
        <v>63</v>
      </c>
      <c r="I1" s="5" t="s">
        <v>80</v>
      </c>
    </row>
    <row r="2" spans="1:9" s="4" customFormat="1" ht="15.6" x14ac:dyDescent="0.3">
      <c r="A2" s="4" t="s">
        <v>82</v>
      </c>
      <c r="B2" s="29">
        <v>113.88500000000001</v>
      </c>
      <c r="C2" s="29">
        <v>109.581</v>
      </c>
      <c r="D2" s="29">
        <v>120.857</v>
      </c>
      <c r="E2" s="29">
        <v>142.30000000000001</v>
      </c>
      <c r="F2" s="29">
        <v>170.79</v>
      </c>
      <c r="G2" s="29">
        <v>168.5</v>
      </c>
      <c r="H2" s="87">
        <v>183.16</v>
      </c>
      <c r="I2" s="5">
        <f>H2/G2-1</f>
        <v>8.7002967359050443E-2</v>
      </c>
    </row>
    <row r="3" spans="1:9" x14ac:dyDescent="0.25">
      <c r="A3" s="1" t="s">
        <v>83</v>
      </c>
      <c r="B3" s="30">
        <v>52.167999999999999</v>
      </c>
      <c r="C3" s="30">
        <v>51.484000000000002</v>
      </c>
      <c r="D3" s="30">
        <v>55.6</v>
      </c>
      <c r="E3" s="30">
        <v>61.96</v>
      </c>
      <c r="F3" s="30">
        <v>81.42</v>
      </c>
      <c r="G3" s="30">
        <v>66.8</v>
      </c>
      <c r="H3" s="8">
        <v>69.010000000000005</v>
      </c>
      <c r="I3" s="3">
        <f>H3/G3-1</f>
        <v>3.3083832335329522E-2</v>
      </c>
    </row>
    <row r="4" spans="1:9" s="2" customFormat="1" ht="15.6" x14ac:dyDescent="0.3">
      <c r="A4" s="2" t="s">
        <v>84</v>
      </c>
      <c r="B4" s="31">
        <f t="shared" ref="B4:H4" si="0">B3/B2</f>
        <v>0.45807612942880976</v>
      </c>
      <c r="C4" s="31">
        <f t="shared" si="0"/>
        <v>0.46982597348080418</v>
      </c>
      <c r="D4" s="31">
        <f t="shared" si="0"/>
        <v>0.46004782511563252</v>
      </c>
      <c r="E4" s="46">
        <f t="shared" si="0"/>
        <v>0.43541813070976809</v>
      </c>
      <c r="F4" s="46">
        <f t="shared" si="0"/>
        <v>0.47672580361847888</v>
      </c>
      <c r="G4" s="46">
        <f t="shared" ref="G4" si="1">G3/G2</f>
        <v>0.39643916913946586</v>
      </c>
      <c r="H4" s="47">
        <f t="shared" si="0"/>
        <v>0.37677440489189784</v>
      </c>
      <c r="I4" s="2">
        <f>H4-G4</f>
        <v>-1.9664764247568023E-2</v>
      </c>
    </row>
    <row r="5" spans="1:9" x14ac:dyDescent="0.25">
      <c r="A5" s="1" t="s">
        <v>85</v>
      </c>
      <c r="B5" s="30">
        <v>61.716000000000001</v>
      </c>
      <c r="C5" s="30">
        <v>58.097000000000001</v>
      </c>
      <c r="D5" s="30">
        <v>65.257000000000005</v>
      </c>
      <c r="E5" s="30">
        <v>80.34</v>
      </c>
      <c r="F5" s="30">
        <f>88.03+1.34</f>
        <v>89.37</v>
      </c>
      <c r="G5" s="30">
        <v>101.7</v>
      </c>
      <c r="H5" s="8">
        <f>H2-H3</f>
        <v>114.14999999999999</v>
      </c>
      <c r="I5" s="3">
        <f>H5/G5-1</f>
        <v>0.12241887905604698</v>
      </c>
    </row>
    <row r="6" spans="1:9" s="2" customFormat="1" ht="15.6" x14ac:dyDescent="0.3">
      <c r="A6" s="2" t="s">
        <v>86</v>
      </c>
      <c r="B6" s="31">
        <f t="shared" ref="B6:H6" si="2">B5/B2</f>
        <v>0.54191508978355352</v>
      </c>
      <c r="C6" s="31">
        <f t="shared" si="2"/>
        <v>0.53017402651919587</v>
      </c>
      <c r="D6" s="31">
        <f t="shared" si="2"/>
        <v>0.53995217488436753</v>
      </c>
      <c r="E6" s="46">
        <f t="shared" si="2"/>
        <v>0.56458186929023191</v>
      </c>
      <c r="F6" s="46">
        <f t="shared" si="2"/>
        <v>0.52327419638152117</v>
      </c>
      <c r="G6" s="46">
        <f t="shared" ref="G6" si="3">G5/G2</f>
        <v>0.60356083086053414</v>
      </c>
      <c r="H6" s="47">
        <f t="shared" si="2"/>
        <v>0.62322559510810216</v>
      </c>
      <c r="I6" s="2">
        <f>H6-G6</f>
        <v>1.9664764247568023E-2</v>
      </c>
    </row>
    <row r="7" spans="1:9" x14ac:dyDescent="0.25">
      <c r="A7" s="10" t="s">
        <v>87</v>
      </c>
      <c r="B7" s="30">
        <v>78.638000000000005</v>
      </c>
      <c r="C7" s="30">
        <v>69.656999999999996</v>
      </c>
      <c r="D7" s="30">
        <v>73.626999999999995</v>
      </c>
      <c r="E7" s="30">
        <v>80.44</v>
      </c>
      <c r="F7" s="30">
        <v>100.07</v>
      </c>
      <c r="G7" s="30">
        <v>106.05</v>
      </c>
      <c r="H7" s="8">
        <v>108.14</v>
      </c>
      <c r="I7" s="3">
        <f>H7/G7-1</f>
        <v>1.9707685054219715E-2</v>
      </c>
    </row>
    <row r="8" spans="1:9" s="2" customFormat="1" ht="15.6" x14ac:dyDescent="0.3">
      <c r="A8" s="89" t="s">
        <v>88</v>
      </c>
      <c r="B8" s="31">
        <f t="shared" ref="B8:H8" si="4">B7/B2</f>
        <v>0.69050357817096197</v>
      </c>
      <c r="C8" s="31">
        <f t="shared" si="4"/>
        <v>0.63566676704903213</v>
      </c>
      <c r="D8" s="31">
        <f t="shared" si="4"/>
        <v>0.60920757589547969</v>
      </c>
      <c r="E8" s="31">
        <f t="shared" si="4"/>
        <v>0.56528460997891772</v>
      </c>
      <c r="F8" s="31">
        <f t="shared" si="4"/>
        <v>0.58592423443995545</v>
      </c>
      <c r="G8" s="31">
        <f t="shared" ref="G8" si="5">G7/G2</f>
        <v>0.62937685459940651</v>
      </c>
      <c r="H8" s="9">
        <f t="shared" si="4"/>
        <v>0.59041275387639225</v>
      </c>
      <c r="I8" s="2">
        <f>H8-G8</f>
        <v>-3.8964100723014261E-2</v>
      </c>
    </row>
    <row r="9" spans="1:9" s="4" customFormat="1" ht="15.6" x14ac:dyDescent="0.3">
      <c r="A9" s="34" t="s">
        <v>89</v>
      </c>
      <c r="B9" s="29">
        <v>35.246000000000002</v>
      </c>
      <c r="C9" s="29">
        <v>39.923999999999999</v>
      </c>
      <c r="D9" s="29">
        <v>47.23</v>
      </c>
      <c r="E9" s="29">
        <v>61.86</v>
      </c>
      <c r="F9" s="29">
        <v>70.72</v>
      </c>
      <c r="G9" s="29">
        <v>62.45</v>
      </c>
      <c r="H9" s="7">
        <v>75.010000000000005</v>
      </c>
      <c r="I9" s="5">
        <f>H9/G9-1</f>
        <v>0.20112089671737388</v>
      </c>
    </row>
    <row r="10" spans="1:9" s="2" customFormat="1" ht="15.6" x14ac:dyDescent="0.3">
      <c r="A10" s="62" t="s">
        <v>90</v>
      </c>
      <c r="B10" s="31">
        <f t="shared" ref="B10:H10" si="6">B9/B2</f>
        <v>0.30948764104140142</v>
      </c>
      <c r="C10" s="31">
        <f t="shared" si="6"/>
        <v>0.36433323295096776</v>
      </c>
      <c r="D10" s="31">
        <f t="shared" si="6"/>
        <v>0.3907924241045202</v>
      </c>
      <c r="E10" s="31">
        <f t="shared" si="6"/>
        <v>0.43471539002108217</v>
      </c>
      <c r="F10" s="31">
        <f t="shared" si="6"/>
        <v>0.4140757655600445</v>
      </c>
      <c r="G10" s="31">
        <f t="shared" ref="G10" si="7">G9/G2</f>
        <v>0.37062314540059349</v>
      </c>
      <c r="H10" s="9">
        <f t="shared" si="6"/>
        <v>0.40953264905001097</v>
      </c>
      <c r="I10" s="2">
        <f>H10-G10</f>
        <v>3.8909503649417476E-2</v>
      </c>
    </row>
    <row r="11" spans="1:9" x14ac:dyDescent="0.25">
      <c r="A11" s="59" t="s">
        <v>91</v>
      </c>
      <c r="B11" s="30">
        <v>3.5270000000000001</v>
      </c>
      <c r="C11" s="30">
        <v>1.9239999999999999</v>
      </c>
      <c r="D11" s="30">
        <v>2.077</v>
      </c>
      <c r="E11" s="30">
        <v>3.3</v>
      </c>
      <c r="F11" s="30">
        <v>3.04</v>
      </c>
      <c r="G11" s="30">
        <v>2.79</v>
      </c>
      <c r="H11" s="8">
        <v>5.24</v>
      </c>
      <c r="I11" s="3">
        <f>H11/G11-1</f>
        <v>0.87813620071684584</v>
      </c>
    </row>
    <row r="12" spans="1:9" x14ac:dyDescent="0.25">
      <c r="A12" s="59" t="s">
        <v>92</v>
      </c>
      <c r="B12" s="30">
        <v>20.65</v>
      </c>
      <c r="C12" s="30">
        <v>22.696000000000002</v>
      </c>
      <c r="D12" s="30">
        <v>30.015999999999998</v>
      </c>
      <c r="E12" s="30">
        <v>36.229999999999997</v>
      </c>
      <c r="F12" s="30">
        <v>42.97</v>
      </c>
      <c r="G12" s="30">
        <v>46.78</v>
      </c>
      <c r="H12" s="8">
        <v>48.2</v>
      </c>
      <c r="I12" s="3">
        <f>H12/G12-1</f>
        <v>3.0354852501068841E-2</v>
      </c>
    </row>
    <row r="13" spans="1:9" s="2" customFormat="1" ht="15.6" x14ac:dyDescent="0.3">
      <c r="A13" s="89" t="s">
        <v>93</v>
      </c>
      <c r="B13" s="31">
        <f t="shared" ref="B13:H13" si="8">B12/B2</f>
        <v>0.18132326469684329</v>
      </c>
      <c r="C13" s="31">
        <f t="shared" si="8"/>
        <v>0.20711619715096596</v>
      </c>
      <c r="D13" s="31">
        <f t="shared" si="8"/>
        <v>0.24835963163077024</v>
      </c>
      <c r="E13" s="31">
        <f t="shared" si="8"/>
        <v>0.25460295151089246</v>
      </c>
      <c r="F13" s="31">
        <f t="shared" si="8"/>
        <v>0.25159552667017976</v>
      </c>
      <c r="G13" s="31">
        <f t="shared" ref="G13" si="9">G12/G2</f>
        <v>0.27762611275964394</v>
      </c>
      <c r="H13" s="9">
        <f t="shared" si="8"/>
        <v>0.26315789473684215</v>
      </c>
      <c r="I13" s="2">
        <f>H13-G13</f>
        <v>-1.4468218022801793E-2</v>
      </c>
    </row>
    <row r="14" spans="1:9" x14ac:dyDescent="0.25">
      <c r="A14" s="10" t="s">
        <v>94</v>
      </c>
      <c r="B14" s="30">
        <v>11.872999999999999</v>
      </c>
      <c r="C14" s="30">
        <v>13.265000000000001</v>
      </c>
      <c r="D14" s="30">
        <v>13.116</v>
      </c>
      <c r="E14" s="30">
        <v>19.88</v>
      </c>
      <c r="F14" s="30">
        <v>20.260000000000002</v>
      </c>
      <c r="G14" s="30">
        <v>23.13</v>
      </c>
      <c r="H14" s="8">
        <v>21.95</v>
      </c>
      <c r="I14" s="3">
        <f>H14/G14-1</f>
        <v>-5.1015996541288411E-2</v>
      </c>
    </row>
    <row r="15" spans="1:9" s="2" customFormat="1" ht="15.6" x14ac:dyDescent="0.3">
      <c r="A15" s="89" t="s">
        <v>95</v>
      </c>
      <c r="B15" s="31">
        <f t="shared" ref="B15:H15" si="10">B14/B2</f>
        <v>0.1042542916099574</v>
      </c>
      <c r="C15" s="31">
        <f t="shared" si="10"/>
        <v>0.12105200719102764</v>
      </c>
      <c r="D15" s="31">
        <f t="shared" si="10"/>
        <v>0.10852495097511936</v>
      </c>
      <c r="E15" s="31">
        <f t="shared" si="10"/>
        <v>0.13970484891075191</v>
      </c>
      <c r="F15" s="31">
        <f t="shared" si="10"/>
        <v>0.11862521224896072</v>
      </c>
      <c r="G15" s="31">
        <f t="shared" ref="G15" si="11">G14/G2</f>
        <v>0.1372700296735905</v>
      </c>
      <c r="H15" s="9">
        <f t="shared" si="10"/>
        <v>0.11984057654509718</v>
      </c>
      <c r="I15" s="2">
        <f>H15-G15</f>
        <v>-1.7429453128493325E-2</v>
      </c>
    </row>
    <row r="16" spans="1:9" x14ac:dyDescent="0.25">
      <c r="A16" s="10" t="s">
        <v>91</v>
      </c>
      <c r="B16" s="30">
        <v>1.2</v>
      </c>
      <c r="C16" s="30">
        <v>1.1339999999999999</v>
      </c>
      <c r="D16" s="30">
        <v>0.67900000000000005</v>
      </c>
      <c r="E16" s="30">
        <v>1.8</v>
      </c>
      <c r="F16" s="30">
        <v>1.52</v>
      </c>
      <c r="G16" s="30">
        <v>1.01</v>
      </c>
      <c r="H16" s="8">
        <v>0.88</v>
      </c>
      <c r="I16" s="3">
        <f>H16/G16-1</f>
        <v>-0.12871287128712872</v>
      </c>
    </row>
    <row r="17" spans="1:9" s="4" customFormat="1" ht="15.6" x14ac:dyDescent="0.3">
      <c r="A17" s="34" t="s">
        <v>8</v>
      </c>
      <c r="B17" s="29">
        <v>8.4280000000000008</v>
      </c>
      <c r="C17" s="29">
        <v>8.36</v>
      </c>
      <c r="D17" s="29">
        <v>9.9489999999999998</v>
      </c>
      <c r="E17" s="29">
        <v>12.3</v>
      </c>
      <c r="F17" s="29">
        <f>F19+6.84</f>
        <v>15.85</v>
      </c>
      <c r="G17" s="29">
        <v>2.61</v>
      </c>
      <c r="H17" s="7">
        <f>H19+9.53</f>
        <v>18.75</v>
      </c>
      <c r="I17" s="5">
        <f>H17/G17-1</f>
        <v>6.1839080459770122</v>
      </c>
    </row>
    <row r="18" spans="1:9" s="2" customFormat="1" ht="15.6" x14ac:dyDescent="0.3">
      <c r="A18" s="61" t="s">
        <v>96</v>
      </c>
      <c r="B18" s="31">
        <f t="shared" ref="B18:H18" si="12">B17/B2</f>
        <v>7.4004478201694701E-2</v>
      </c>
      <c r="C18" s="31">
        <f t="shared" si="12"/>
        <v>7.6290597822615228E-2</v>
      </c>
      <c r="D18" s="31">
        <f t="shared" si="12"/>
        <v>8.2320428274737914E-2</v>
      </c>
      <c r="E18" s="31">
        <f t="shared" si="12"/>
        <v>8.6437104708362605E-2</v>
      </c>
      <c r="F18" s="31">
        <f t="shared" si="12"/>
        <v>9.2804028338895728E-2</v>
      </c>
      <c r="G18" s="31">
        <f t="shared" ref="G18" si="13">G17/G2</f>
        <v>1.5489614243323442E-2</v>
      </c>
      <c r="H18" s="9">
        <f t="shared" si="12"/>
        <v>0.10236951299410352</v>
      </c>
      <c r="I18" s="2">
        <f>H18-G18</f>
        <v>8.6879898750780074E-2</v>
      </c>
    </row>
    <row r="19" spans="1:9" s="4" customFormat="1" ht="15.6" x14ac:dyDescent="0.3">
      <c r="A19" s="34" t="s">
        <v>97</v>
      </c>
      <c r="B19" s="29">
        <v>5.05</v>
      </c>
      <c r="C19" s="29">
        <v>4.7530000000000001</v>
      </c>
      <c r="D19" s="29">
        <v>5.4950000000000001</v>
      </c>
      <c r="E19" s="29">
        <v>7.26</v>
      </c>
      <c r="F19" s="29">
        <v>9.01</v>
      </c>
      <c r="G19" s="29">
        <v>-5.68</v>
      </c>
      <c r="H19" s="7">
        <v>9.2200000000000006</v>
      </c>
      <c r="I19" s="5">
        <f>H19/G19-1</f>
        <v>-2.6232394366197185</v>
      </c>
    </row>
    <row r="20" spans="1:9" s="2" customFormat="1" ht="15.6" x14ac:dyDescent="0.3">
      <c r="A20" s="61" t="s">
        <v>98</v>
      </c>
      <c r="B20" s="31">
        <f t="shared" ref="B20:H20" si="14">B19/B2</f>
        <v>4.4342977565087587E-2</v>
      </c>
      <c r="C20" s="31">
        <f t="shared" si="14"/>
        <v>4.3374307589819402E-2</v>
      </c>
      <c r="D20" s="31">
        <f t="shared" si="14"/>
        <v>4.5466956816733829E-2</v>
      </c>
      <c r="E20" s="31">
        <f t="shared" si="14"/>
        <v>5.1018973998594515E-2</v>
      </c>
      <c r="F20" s="31">
        <f t="shared" si="14"/>
        <v>5.2754845131447979E-2</v>
      </c>
      <c r="G20" s="31">
        <f t="shared" ref="G20" si="15">G19/G2</f>
        <v>-3.3709198813056375E-2</v>
      </c>
      <c r="H20" s="9">
        <f t="shared" si="14"/>
        <v>5.0338501856300504E-2</v>
      </c>
      <c r="I20" s="2">
        <f>H20-G20</f>
        <v>8.4047700669356878E-2</v>
      </c>
    </row>
    <row r="21" spans="1:9" x14ac:dyDescent="0.25">
      <c r="A21" s="59" t="s">
        <v>99</v>
      </c>
      <c r="B21" s="30">
        <v>0.23100000000000001</v>
      </c>
      <c r="C21" s="30">
        <v>0.14099999999999999</v>
      </c>
      <c r="D21" s="30">
        <v>3.2000000000000001E-2</v>
      </c>
      <c r="E21" s="30">
        <v>2.15</v>
      </c>
      <c r="F21" s="30">
        <v>0.27</v>
      </c>
      <c r="G21" s="30">
        <v>3.29</v>
      </c>
      <c r="H21" s="8">
        <v>1.26</v>
      </c>
      <c r="I21" s="3">
        <f t="shared" ref="I21:I25" si="16">H21/G21-1</f>
        <v>-0.61702127659574468</v>
      </c>
    </row>
    <row r="22" spans="1:9" x14ac:dyDescent="0.25">
      <c r="A22" s="59" t="s">
        <v>100</v>
      </c>
      <c r="B22" s="30">
        <v>1.4119999999999999</v>
      </c>
      <c r="C22" s="30">
        <v>0.752</v>
      </c>
      <c r="D22" s="30">
        <v>1.5669999999999999</v>
      </c>
      <c r="E22" s="30">
        <v>0.75</v>
      </c>
      <c r="F22" s="30">
        <v>4.2300000000000004</v>
      </c>
      <c r="G22" s="30">
        <v>2.56</v>
      </c>
      <c r="H22" s="8">
        <v>1.55</v>
      </c>
      <c r="I22" s="3">
        <f t="shared" si="16"/>
        <v>-0.39453125</v>
      </c>
    </row>
    <row r="23" spans="1:9" x14ac:dyDescent="0.25">
      <c r="A23" s="59" t="s">
        <v>101</v>
      </c>
      <c r="B23" s="30">
        <v>3.8690000000000002</v>
      </c>
      <c r="C23" s="30">
        <v>4.1429999999999998</v>
      </c>
      <c r="D23" s="30">
        <v>3.9609999999999999</v>
      </c>
      <c r="E23" s="30">
        <v>8.67</v>
      </c>
      <c r="F23" s="30">
        <v>5.04</v>
      </c>
      <c r="G23" s="30">
        <v>-4.9400000000000004</v>
      </c>
      <c r="H23" s="8">
        <v>8.93</v>
      </c>
      <c r="I23" s="3">
        <f t="shared" si="16"/>
        <v>-2.8076923076923075</v>
      </c>
    </row>
    <row r="24" spans="1:9" x14ac:dyDescent="0.25">
      <c r="A24" s="59" t="s">
        <v>102</v>
      </c>
      <c r="B24" s="30">
        <v>0.35699999999999998</v>
      </c>
      <c r="C24" s="30">
        <v>1.169</v>
      </c>
      <c r="D24" s="30">
        <v>0.82799999999999996</v>
      </c>
      <c r="E24" s="30">
        <v>1.67</v>
      </c>
      <c r="F24" s="30">
        <v>1.44</v>
      </c>
      <c r="G24" s="30">
        <v>-0.88</v>
      </c>
      <c r="H24" s="8">
        <v>0.43</v>
      </c>
      <c r="I24" s="3">
        <f t="shared" si="16"/>
        <v>-1.4886363636363638</v>
      </c>
    </row>
    <row r="25" spans="1:9" x14ac:dyDescent="0.25">
      <c r="A25" s="59" t="s">
        <v>103</v>
      </c>
      <c r="B25" s="30">
        <v>3.512</v>
      </c>
      <c r="C25" s="30">
        <v>2.9740000000000002</v>
      </c>
      <c r="D25" s="30">
        <v>3.133</v>
      </c>
      <c r="E25" s="30">
        <v>7</v>
      </c>
      <c r="F25" s="30">
        <v>3.6</v>
      </c>
      <c r="G25" s="30">
        <v>-4.8499999999999996</v>
      </c>
      <c r="H25" s="8">
        <v>8.5</v>
      </c>
      <c r="I25" s="3">
        <f t="shared" si="16"/>
        <v>-2.7525773195876289</v>
      </c>
    </row>
    <row r="26" spans="1:9" s="4" customFormat="1" ht="15.6" x14ac:dyDescent="0.3">
      <c r="A26" s="34" t="s">
        <v>104</v>
      </c>
      <c r="B26" s="29">
        <v>3.512</v>
      </c>
      <c r="C26" s="29">
        <v>2.9740000000000002</v>
      </c>
      <c r="D26" s="29">
        <v>3.133</v>
      </c>
      <c r="E26" s="29">
        <v>7</v>
      </c>
      <c r="F26" s="29">
        <v>3.6</v>
      </c>
      <c r="G26" s="30">
        <v>-4.8499999999999996</v>
      </c>
      <c r="H26" s="8">
        <v>7.52</v>
      </c>
      <c r="I26" s="5">
        <f>H26/G26-1</f>
        <v>-2.5505154639175256</v>
      </c>
    </row>
    <row r="27" spans="1:9" s="2" customFormat="1" ht="15.6" x14ac:dyDescent="0.3">
      <c r="A27" s="64" t="s">
        <v>105</v>
      </c>
      <c r="B27" s="31">
        <f t="shared" ref="B27:H27" si="17">B26/B2</f>
        <v>3.0838126179918338E-2</v>
      </c>
      <c r="C27" s="31">
        <f t="shared" si="17"/>
        <v>2.7139741378523652E-2</v>
      </c>
      <c r="D27" s="31">
        <f t="shared" si="17"/>
        <v>2.5923198490778357E-2</v>
      </c>
      <c r="E27" s="31">
        <f t="shared" si="17"/>
        <v>4.9191848208011237E-2</v>
      </c>
      <c r="F27" s="31">
        <f t="shared" si="17"/>
        <v>2.1078517477604076E-2</v>
      </c>
      <c r="G27" s="31">
        <f t="shared" ref="G27" si="18">G26/G2</f>
        <v>-2.8783382789317507E-2</v>
      </c>
      <c r="H27" s="9">
        <f t="shared" si="17"/>
        <v>4.1056999344835116E-2</v>
      </c>
      <c r="I27" s="2">
        <f>H27-G27</f>
        <v>6.9840382134152626E-2</v>
      </c>
    </row>
    <row r="28" spans="1:9" x14ac:dyDescent="0.25">
      <c r="A28" s="88" t="s">
        <v>106</v>
      </c>
      <c r="B28" s="30">
        <v>4</v>
      </c>
      <c r="C28" s="30">
        <v>3.8050000000000002</v>
      </c>
      <c r="D28" s="30">
        <v>3.0089999999999999</v>
      </c>
      <c r="E28" s="30">
        <v>7.09</v>
      </c>
      <c r="F28" s="30">
        <v>4.1500000000000004</v>
      </c>
      <c r="G28" s="30">
        <v>-5.8</v>
      </c>
      <c r="H28" s="8">
        <v>7.52</v>
      </c>
      <c r="I28" s="3">
        <f t="shared" ref="I28:I29" si="19">H28/G28-1</f>
        <v>-2.296551724137931</v>
      </c>
    </row>
    <row r="29" spans="1:9" x14ac:dyDescent="0.25">
      <c r="A29" s="68" t="s">
        <v>107</v>
      </c>
      <c r="B29" s="30">
        <v>0.56000000000000005</v>
      </c>
      <c r="C29" s="30">
        <v>0.53</v>
      </c>
      <c r="D29" s="30">
        <v>0.41</v>
      </c>
      <c r="E29" s="30">
        <v>0.99</v>
      </c>
      <c r="F29" s="30">
        <v>0.57999999999999996</v>
      </c>
      <c r="G29" s="30">
        <v>-0.81</v>
      </c>
      <c r="H29" s="8">
        <v>1.04</v>
      </c>
      <c r="I29" s="3">
        <f t="shared" si="19"/>
        <v>-2.2839506172839505</v>
      </c>
    </row>
    <row r="30" spans="1:9" x14ac:dyDescent="0.25">
      <c r="B30" s="30"/>
      <c r="C30" s="30"/>
      <c r="D30" s="30"/>
    </row>
    <row r="31" spans="1:9" x14ac:dyDescent="0.25">
      <c r="B31" s="30"/>
      <c r="C31" s="30"/>
      <c r="D31" s="30"/>
    </row>
    <row r="32" spans="1:9" x14ac:dyDescent="0.25">
      <c r="B32" s="30"/>
      <c r="C32" s="41"/>
      <c r="D32" s="30"/>
    </row>
    <row r="33" spans="2:4" x14ac:dyDescent="0.25">
      <c r="B33" s="30"/>
      <c r="C33" s="30"/>
      <c r="D33" s="30"/>
    </row>
    <row r="34" spans="2:4" x14ac:dyDescent="0.25">
      <c r="B34" s="30"/>
      <c r="C34" s="30"/>
      <c r="D34" s="30"/>
    </row>
    <row r="35" spans="2:4" x14ac:dyDescent="0.25">
      <c r="B35" s="30"/>
      <c r="C35" s="30"/>
      <c r="D35" s="30"/>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Z124"/>
  <sheetViews>
    <sheetView zoomScaleNormal="100" workbookViewId="0">
      <pane xSplit="1" ySplit="1" topLeftCell="O2" activePane="bottomRight" state="frozenSplit"/>
      <selection sqref="A1:A1048576"/>
      <selection pane="topRight" activeCell="B1" sqref="B1"/>
      <selection pane="bottomLeft" activeCell="A28" sqref="A28"/>
      <selection pane="bottomRight" activeCell="A32" sqref="A32"/>
    </sheetView>
  </sheetViews>
  <sheetFormatPr defaultColWidth="10.54296875" defaultRowHeight="15" x14ac:dyDescent="0.25"/>
  <cols>
    <col min="1" max="1" width="37.81640625" style="10" customWidth="1"/>
    <col min="2" max="11" width="10.54296875" style="10"/>
    <col min="12" max="12" width="10.54296875" style="10" customWidth="1"/>
    <col min="13" max="14" width="10.54296875" style="32" customWidth="1"/>
    <col min="15" max="22" width="10.54296875" style="32"/>
    <col min="23" max="23" width="10.54296875" style="10"/>
    <col min="24" max="24" width="11" style="3" bestFit="1" customWidth="1"/>
    <col min="25" max="25" width="11" style="3" customWidth="1"/>
    <col min="26" max="16384" width="10.54296875" style="10"/>
  </cols>
  <sheetData>
    <row r="1" spans="1:25" s="4" customFormat="1" ht="15.6" x14ac:dyDescent="0.3">
      <c r="A1" s="59" t="s">
        <v>108</v>
      </c>
      <c r="B1" s="35" t="s">
        <v>17</v>
      </c>
      <c r="C1" s="35" t="s">
        <v>18</v>
      </c>
      <c r="D1" s="35" t="s">
        <v>2</v>
      </c>
      <c r="E1" s="35" t="s">
        <v>3</v>
      </c>
      <c r="F1" s="35" t="s">
        <v>4</v>
      </c>
      <c r="G1" s="35" t="s">
        <v>5</v>
      </c>
      <c r="H1" s="34" t="s">
        <v>6</v>
      </c>
      <c r="I1" s="34" t="s">
        <v>34</v>
      </c>
      <c r="J1" s="34" t="s">
        <v>33</v>
      </c>
      <c r="K1" s="34" t="s">
        <v>35</v>
      </c>
      <c r="L1" s="34" t="s">
        <v>38</v>
      </c>
      <c r="M1" s="72" t="s">
        <v>41</v>
      </c>
      <c r="N1" s="72" t="s">
        <v>43</v>
      </c>
      <c r="O1" s="72" t="s">
        <v>46</v>
      </c>
      <c r="P1" s="72" t="s">
        <v>49</v>
      </c>
      <c r="Q1" s="72" t="s">
        <v>51</v>
      </c>
      <c r="R1" s="72" t="s">
        <v>53</v>
      </c>
      <c r="S1" s="72" t="s">
        <v>55</v>
      </c>
      <c r="T1" s="72" t="s">
        <v>57</v>
      </c>
      <c r="U1" s="72" t="s">
        <v>59</v>
      </c>
      <c r="V1" s="72" t="s">
        <v>61</v>
      </c>
      <c r="W1" s="73" t="s">
        <v>64</v>
      </c>
      <c r="X1" s="52" t="s">
        <v>79</v>
      </c>
      <c r="Y1" s="52" t="s">
        <v>80</v>
      </c>
    </row>
    <row r="2" spans="1:25" s="55" customFormat="1" ht="15.6" x14ac:dyDescent="0.3">
      <c r="A2" s="55" t="s">
        <v>109</v>
      </c>
      <c r="X2" s="12"/>
      <c r="Y2" s="12"/>
    </row>
    <row r="3" spans="1:25" s="35" customFormat="1" ht="15.6" x14ac:dyDescent="0.3">
      <c r="A3" s="35" t="s">
        <v>111</v>
      </c>
      <c r="B3" s="35">
        <v>40.344999999999999</v>
      </c>
      <c r="C3" s="35">
        <v>47.609000000000002</v>
      </c>
      <c r="D3" s="35">
        <v>47.983919999999998</v>
      </c>
      <c r="E3" s="35">
        <v>47.769829999999999</v>
      </c>
      <c r="F3" s="35">
        <v>49.853200000000001</v>
      </c>
      <c r="G3" s="35">
        <v>49.917999999999999</v>
      </c>
      <c r="H3" s="35">
        <v>49.343420000000002</v>
      </c>
      <c r="I3" s="35">
        <v>49.82</v>
      </c>
      <c r="J3" s="35">
        <v>52.83</v>
      </c>
      <c r="K3" s="35">
        <v>55.41</v>
      </c>
      <c r="L3" s="35">
        <v>59.05</v>
      </c>
      <c r="M3" s="35">
        <v>62.53</v>
      </c>
      <c r="N3" s="35">
        <v>63.92</v>
      </c>
      <c r="O3" s="35">
        <v>64.36</v>
      </c>
      <c r="P3" s="35">
        <v>67.98</v>
      </c>
      <c r="Q3" s="35">
        <v>69.569999999999993</v>
      </c>
      <c r="R3" s="35">
        <v>70.27</v>
      </c>
      <c r="S3" s="35">
        <v>69.64</v>
      </c>
      <c r="T3" s="35">
        <v>69.12</v>
      </c>
      <c r="U3" s="35">
        <v>67.790000000000006</v>
      </c>
      <c r="V3" s="35">
        <v>66.73</v>
      </c>
      <c r="W3" s="45">
        <v>64.63</v>
      </c>
      <c r="X3" s="50">
        <f>W3/V3-1</f>
        <v>-3.1470103401768479E-2</v>
      </c>
      <c r="Y3" s="50">
        <f>W3/S3-1</f>
        <v>-7.1941412981045394E-2</v>
      </c>
    </row>
    <row r="4" spans="1:25" s="38" customFormat="1" x14ac:dyDescent="0.25">
      <c r="A4" s="38" t="s">
        <v>112</v>
      </c>
      <c r="B4" s="38">
        <v>27.440999999999999</v>
      </c>
      <c r="C4" s="38">
        <v>33.619999999999997</v>
      </c>
      <c r="D4" s="38">
        <v>33.784880000000001</v>
      </c>
      <c r="E4" s="38">
        <v>33.155149999999999</v>
      </c>
      <c r="F4" s="38">
        <v>34.550370000000001</v>
      </c>
      <c r="G4" s="38">
        <v>34.625</v>
      </c>
      <c r="H4" s="38">
        <v>33.960520000000002</v>
      </c>
      <c r="I4" s="38">
        <v>34.380000000000003</v>
      </c>
      <c r="J4" s="38">
        <v>37.29</v>
      </c>
      <c r="K4" s="38">
        <v>41.24</v>
      </c>
      <c r="L4" s="38">
        <v>44.13</v>
      </c>
      <c r="M4" s="38">
        <v>46.42</v>
      </c>
      <c r="N4" s="38">
        <v>46.38</v>
      </c>
      <c r="O4" s="38">
        <v>47.57</v>
      </c>
      <c r="P4" s="38">
        <v>46.16</v>
      </c>
      <c r="Q4" s="38">
        <v>47.19</v>
      </c>
      <c r="R4" s="38">
        <v>46.75</v>
      </c>
      <c r="S4" s="38">
        <v>46.37</v>
      </c>
      <c r="T4" s="38">
        <v>45.84</v>
      </c>
      <c r="U4" s="38">
        <v>44.6</v>
      </c>
      <c r="V4" s="38">
        <v>44.47</v>
      </c>
      <c r="W4" s="37">
        <v>43.67</v>
      </c>
      <c r="X4" s="51">
        <f t="shared" ref="X4:X14" si="0">W4/V4-1</f>
        <v>-1.7989655947829974E-2</v>
      </c>
      <c r="Y4" s="51">
        <f t="shared" ref="Y4:Y14" si="1">W4/S4-1</f>
        <v>-5.8227302135000936E-2</v>
      </c>
    </row>
    <row r="5" spans="1:25" s="38" customFormat="1" x14ac:dyDescent="0.25">
      <c r="A5" s="38" t="s">
        <v>113</v>
      </c>
      <c r="B5" s="38">
        <v>3.6030000000000002</v>
      </c>
      <c r="C5" s="38">
        <v>5.8540000000000001</v>
      </c>
      <c r="D5" s="38">
        <v>6.0702499999999997</v>
      </c>
      <c r="E5" s="38">
        <v>6.4791499999999997</v>
      </c>
      <c r="F5" s="38">
        <v>7.1688599999999996</v>
      </c>
      <c r="G5" s="38">
        <v>7.8710000000000004</v>
      </c>
      <c r="H5" s="38">
        <v>7.95411</v>
      </c>
      <c r="I5" s="38">
        <v>8.02</v>
      </c>
      <c r="J5" s="38">
        <v>8.1300000000000008</v>
      </c>
      <c r="K5" s="38">
        <v>8.5500000000000007</v>
      </c>
      <c r="L5" s="38">
        <v>9.2799999999999994</v>
      </c>
      <c r="M5" s="38">
        <v>10.5</v>
      </c>
      <c r="N5" s="38">
        <v>11.8</v>
      </c>
      <c r="O5" s="38">
        <v>12.83</v>
      </c>
      <c r="P5" s="38">
        <v>13.82</v>
      </c>
      <c r="Q5" s="38">
        <v>14.76</v>
      </c>
      <c r="R5" s="38">
        <v>15.67</v>
      </c>
      <c r="S5" s="38">
        <v>16.05</v>
      </c>
      <c r="T5" s="38">
        <v>16.23</v>
      </c>
      <c r="U5" s="38">
        <v>15.55</v>
      </c>
      <c r="V5" s="38">
        <v>15.44</v>
      </c>
      <c r="W5" s="37">
        <v>14.94</v>
      </c>
      <c r="X5" s="51">
        <f t="shared" si="0"/>
        <v>-3.2383419689119175E-2</v>
      </c>
      <c r="Y5" s="51">
        <f t="shared" si="1"/>
        <v>-6.9158878504672949E-2</v>
      </c>
    </row>
    <row r="6" spans="1:25" s="38" customFormat="1" x14ac:dyDescent="0.25">
      <c r="A6" s="38" t="s">
        <v>114</v>
      </c>
      <c r="B6" s="38">
        <v>8.7539999999999996</v>
      </c>
      <c r="C6" s="38">
        <v>7.5990000000000002</v>
      </c>
      <c r="D6" s="38">
        <v>7.5929399999999996</v>
      </c>
      <c r="E6" s="38">
        <v>7.5844500000000004</v>
      </c>
      <c r="F6" s="38">
        <v>7.5839699999999999</v>
      </c>
      <c r="G6" s="38">
        <v>6.875</v>
      </c>
      <c r="H6" s="38">
        <v>6.8742700000000001</v>
      </c>
      <c r="I6" s="38">
        <v>6.87</v>
      </c>
      <c r="J6" s="38">
        <v>6.87</v>
      </c>
      <c r="K6" s="38">
        <v>5.2</v>
      </c>
      <c r="L6" s="38">
        <v>5.21</v>
      </c>
      <c r="M6" s="38">
        <v>5.17</v>
      </c>
      <c r="N6" s="38">
        <v>5.3</v>
      </c>
      <c r="O6" s="38">
        <v>3.93</v>
      </c>
      <c r="P6" s="38">
        <v>3.75</v>
      </c>
      <c r="Q6" s="38">
        <v>4.03</v>
      </c>
      <c r="R6" s="38">
        <v>4.4800000000000004</v>
      </c>
      <c r="S6" s="38">
        <v>4.04</v>
      </c>
      <c r="T6" s="38">
        <v>4.07</v>
      </c>
      <c r="U6" s="38">
        <v>3.88</v>
      </c>
      <c r="V6" s="38">
        <v>3.78</v>
      </c>
      <c r="W6" s="37">
        <v>3.7</v>
      </c>
      <c r="X6" s="51">
        <f t="shared" si="0"/>
        <v>-2.1164021164021052E-2</v>
      </c>
      <c r="Y6" s="51">
        <f t="shared" si="1"/>
        <v>-8.4158415841584122E-2</v>
      </c>
    </row>
    <row r="7" spans="1:25" s="38" customFormat="1" x14ac:dyDescent="0.25">
      <c r="A7" s="38" t="s">
        <v>115</v>
      </c>
      <c r="B7" s="38">
        <v>0.54600000000000004</v>
      </c>
      <c r="C7" s="38">
        <v>0.53500000000000003</v>
      </c>
      <c r="D7" s="38">
        <v>0.53474999999999995</v>
      </c>
      <c r="E7" s="38">
        <v>0.54993000000000003</v>
      </c>
      <c r="F7" s="38">
        <v>0.54888000000000003</v>
      </c>
      <c r="G7" s="38">
        <v>0.53500000000000003</v>
      </c>
      <c r="H7" s="38">
        <v>0.55311999999999995</v>
      </c>
      <c r="I7" s="38">
        <v>0.55000000000000004</v>
      </c>
      <c r="J7" s="38">
        <v>0.54</v>
      </c>
      <c r="K7" s="38">
        <v>0.41</v>
      </c>
      <c r="L7" s="38">
        <v>0.43</v>
      </c>
      <c r="M7" s="38">
        <v>0.44</v>
      </c>
      <c r="N7" s="38">
        <v>0.44</v>
      </c>
      <c r="O7" s="38">
        <v>0.03</v>
      </c>
      <c r="P7" s="38">
        <v>0.03</v>
      </c>
      <c r="Q7" s="38">
        <v>0.04</v>
      </c>
      <c r="R7" s="38">
        <v>0.01</v>
      </c>
      <c r="S7" s="38">
        <v>0.01</v>
      </c>
      <c r="T7" s="38">
        <v>0.05</v>
      </c>
      <c r="U7" s="38">
        <v>0.05</v>
      </c>
      <c r="V7" s="38">
        <v>0.05</v>
      </c>
      <c r="W7" s="37">
        <v>0.05</v>
      </c>
      <c r="X7" s="51">
        <f t="shared" si="0"/>
        <v>0</v>
      </c>
      <c r="Y7" s="51">
        <f t="shared" si="1"/>
        <v>4</v>
      </c>
    </row>
    <row r="8" spans="1:25" s="35" customFormat="1" ht="15.6" x14ac:dyDescent="0.3">
      <c r="A8" s="35" t="s">
        <v>116</v>
      </c>
      <c r="B8" s="35">
        <v>52.914000000000001</v>
      </c>
      <c r="C8" s="35">
        <v>50.177999999999997</v>
      </c>
      <c r="D8" s="35">
        <v>44.846519999999998</v>
      </c>
      <c r="E8" s="35">
        <v>47.966360000000002</v>
      </c>
      <c r="F8" s="35">
        <v>51.898180000000004</v>
      </c>
      <c r="G8" s="35">
        <v>57.509</v>
      </c>
      <c r="H8" s="35">
        <v>56.525179999999999</v>
      </c>
      <c r="I8" s="35">
        <v>58.55</v>
      </c>
      <c r="J8" s="35">
        <v>64.260000000000005</v>
      </c>
      <c r="K8" s="35">
        <v>66.55</v>
      </c>
      <c r="L8" s="35">
        <v>62.15</v>
      </c>
      <c r="M8" s="35">
        <v>70.64</v>
      </c>
      <c r="N8" s="35">
        <v>77.540000000000006</v>
      </c>
      <c r="O8" s="35">
        <v>79.47</v>
      </c>
      <c r="P8" s="35">
        <v>72.94</v>
      </c>
      <c r="Q8" s="35">
        <v>73.52</v>
      </c>
      <c r="R8" s="35">
        <v>77.69</v>
      </c>
      <c r="S8" s="35">
        <v>80.680000000000007</v>
      </c>
      <c r="T8" s="35">
        <v>88.56</v>
      </c>
      <c r="U8" s="35">
        <v>85.34</v>
      </c>
      <c r="V8" s="35">
        <v>84.91</v>
      </c>
      <c r="W8" s="45">
        <v>86.84</v>
      </c>
      <c r="X8" s="50">
        <f t="shared" si="0"/>
        <v>2.2729949358144097E-2</v>
      </c>
      <c r="Y8" s="50">
        <f t="shared" si="1"/>
        <v>7.6351016360932E-2</v>
      </c>
    </row>
    <row r="9" spans="1:25" s="38" customFormat="1" x14ac:dyDescent="0.25">
      <c r="A9" s="38" t="s">
        <v>117</v>
      </c>
      <c r="B9" s="38">
        <v>28.364999999999998</v>
      </c>
      <c r="C9" s="38">
        <v>24.532</v>
      </c>
      <c r="D9" s="38">
        <v>25.388110000000001</v>
      </c>
      <c r="E9" s="38">
        <v>25.32066</v>
      </c>
      <c r="F9" s="38">
        <v>27.43064</v>
      </c>
      <c r="G9" s="38">
        <v>29.832999999999998</v>
      </c>
      <c r="H9" s="38">
        <v>33.137569999999997</v>
      </c>
      <c r="I9" s="38">
        <v>31.48</v>
      </c>
      <c r="J9" s="38">
        <v>32.57</v>
      </c>
      <c r="K9" s="38">
        <v>32.590000000000003</v>
      </c>
      <c r="L9" s="38">
        <v>31.29</v>
      </c>
      <c r="M9" s="38">
        <v>32.61</v>
      </c>
      <c r="N9" s="38">
        <v>39.94</v>
      </c>
      <c r="O9" s="38">
        <v>35.51</v>
      </c>
      <c r="P9" s="38">
        <v>36.67</v>
      </c>
      <c r="Q9" s="38">
        <v>37.880000000000003</v>
      </c>
      <c r="R9" s="38">
        <v>40.450000000000003</v>
      </c>
      <c r="S9" s="38">
        <v>41.55</v>
      </c>
      <c r="T9" s="38">
        <v>45.77</v>
      </c>
      <c r="U9" s="38">
        <v>47.23</v>
      </c>
      <c r="V9" s="38">
        <v>47.23</v>
      </c>
      <c r="W9" s="37">
        <v>47.25</v>
      </c>
      <c r="X9" s="51">
        <f t="shared" si="0"/>
        <v>4.234596654668632E-4</v>
      </c>
      <c r="Y9" s="51">
        <f t="shared" si="1"/>
        <v>0.13718411552346588</v>
      </c>
    </row>
    <row r="10" spans="1:25" s="38" customFormat="1" x14ac:dyDescent="0.25">
      <c r="A10" s="38" t="s">
        <v>118</v>
      </c>
      <c r="B10" s="38">
        <v>19.891999999999999</v>
      </c>
      <c r="C10" s="38">
        <v>21.838999999999999</v>
      </c>
      <c r="D10" s="38">
        <v>14.83122</v>
      </c>
      <c r="E10" s="38">
        <v>18.250440000000001</v>
      </c>
      <c r="F10" s="38">
        <v>20.480029999999999</v>
      </c>
      <c r="G10" s="38">
        <v>23.771999999999998</v>
      </c>
      <c r="H10" s="38">
        <v>19.869959999999999</v>
      </c>
      <c r="I10" s="38">
        <v>21.31</v>
      </c>
      <c r="J10" s="38">
        <v>25.6</v>
      </c>
      <c r="K10" s="38">
        <v>28.49</v>
      </c>
      <c r="L10" s="38">
        <v>26.32</v>
      </c>
      <c r="M10" s="38">
        <v>32.799999999999997</v>
      </c>
      <c r="N10" s="38">
        <v>32.19</v>
      </c>
      <c r="O10" s="38">
        <v>34.92</v>
      </c>
      <c r="P10" s="38">
        <v>25.44</v>
      </c>
      <c r="Q10" s="38">
        <v>28.72</v>
      </c>
      <c r="R10" s="38">
        <v>30.01</v>
      </c>
      <c r="S10" s="38">
        <v>32.01</v>
      </c>
      <c r="T10" s="38">
        <v>33.85</v>
      </c>
      <c r="U10" s="38">
        <v>29.9</v>
      </c>
      <c r="V10" s="38">
        <v>29.57</v>
      </c>
      <c r="W10" s="37">
        <v>27.91</v>
      </c>
      <c r="X10" s="51">
        <f t="shared" si="0"/>
        <v>-5.6137977680081219E-2</v>
      </c>
      <c r="Y10" s="51">
        <f t="shared" si="1"/>
        <v>-0.12808497344579817</v>
      </c>
    </row>
    <row r="11" spans="1:25" s="38" customFormat="1" x14ac:dyDescent="0.25">
      <c r="A11" s="38" t="s">
        <v>119</v>
      </c>
      <c r="B11" s="38">
        <v>2.0840000000000001</v>
      </c>
      <c r="C11" s="38">
        <v>1.5980000000000001</v>
      </c>
      <c r="D11" s="38">
        <v>1.6560900000000001</v>
      </c>
      <c r="E11" s="38">
        <v>1.4</v>
      </c>
      <c r="F11" s="38">
        <v>1.6956500000000001</v>
      </c>
      <c r="G11" s="38">
        <v>1.7010000000000001</v>
      </c>
      <c r="H11" s="38">
        <v>1.26711</v>
      </c>
      <c r="I11" s="38">
        <v>1.49</v>
      </c>
      <c r="J11" s="38">
        <v>0.93</v>
      </c>
      <c r="K11" s="38">
        <v>1.3800000000000026</v>
      </c>
      <c r="L11" s="38">
        <v>1.04</v>
      </c>
      <c r="M11" s="38">
        <v>1.81</v>
      </c>
      <c r="N11" s="38">
        <v>1.73</v>
      </c>
      <c r="O11" s="38">
        <v>2.29</v>
      </c>
      <c r="P11" s="38">
        <f>2.29</f>
        <v>2.29</v>
      </c>
      <c r="Q11" s="38">
        <f>0.34+1.37</f>
        <v>1.7100000000000002</v>
      </c>
      <c r="R11" s="38">
        <v>1.66</v>
      </c>
      <c r="S11" s="38">
        <v>1.25</v>
      </c>
      <c r="T11" s="38">
        <v>2.2000000000000002</v>
      </c>
      <c r="U11" s="38">
        <v>2.86</v>
      </c>
      <c r="V11" s="38">
        <f>2.03+0.13</f>
        <v>2.1599999999999997</v>
      </c>
      <c r="W11" s="37">
        <v>3.16</v>
      </c>
      <c r="X11" s="51">
        <f t="shared" si="0"/>
        <v>0.46296296296296324</v>
      </c>
      <c r="Y11" s="51">
        <f t="shared" si="1"/>
        <v>1.528</v>
      </c>
    </row>
    <row r="12" spans="1:25" s="38" customFormat="1" x14ac:dyDescent="0.25">
      <c r="A12" s="38" t="s">
        <v>120</v>
      </c>
      <c r="B12" s="38">
        <v>0.89100000000000001</v>
      </c>
      <c r="C12" s="38">
        <v>1.3260000000000001</v>
      </c>
      <c r="D12" s="38">
        <v>1.75108</v>
      </c>
      <c r="E12" s="38">
        <v>1.7148000000000001</v>
      </c>
      <c r="F12" s="38">
        <v>1.48187</v>
      </c>
      <c r="G12" s="38">
        <v>1.2170000000000001</v>
      </c>
      <c r="H12" s="38">
        <v>1.35164</v>
      </c>
      <c r="I12" s="38">
        <v>1.88</v>
      </c>
      <c r="J12" s="38">
        <v>1.95</v>
      </c>
      <c r="K12" s="38">
        <v>1.47</v>
      </c>
      <c r="L12" s="38">
        <v>2.02</v>
      </c>
      <c r="M12" s="38">
        <v>2.72</v>
      </c>
      <c r="N12" s="38">
        <v>2.14</v>
      </c>
      <c r="O12" s="38">
        <v>1.27</v>
      </c>
      <c r="P12" s="38">
        <v>1.45</v>
      </c>
      <c r="Q12" s="38">
        <v>2</v>
      </c>
      <c r="R12" s="38">
        <v>2.2599999999999998</v>
      </c>
      <c r="S12" s="38">
        <v>1.94</v>
      </c>
      <c r="T12" s="38">
        <v>1.89</v>
      </c>
      <c r="U12" s="38">
        <v>1.46</v>
      </c>
      <c r="V12" s="38">
        <v>1.88</v>
      </c>
      <c r="W12" s="37">
        <v>2.2999999999999998</v>
      </c>
      <c r="X12" s="51">
        <f t="shared" si="0"/>
        <v>0.22340425531914887</v>
      </c>
      <c r="Y12" s="51">
        <f t="shared" si="1"/>
        <v>0.18556701030927836</v>
      </c>
    </row>
    <row r="13" spans="1:25" s="38" customFormat="1" x14ac:dyDescent="0.25">
      <c r="A13" s="38" t="s">
        <v>121</v>
      </c>
      <c r="B13" s="38">
        <v>1.6819999999999999</v>
      </c>
      <c r="C13" s="38">
        <v>0.86499999999999999</v>
      </c>
      <c r="D13" s="38">
        <v>1.20242</v>
      </c>
      <c r="E13" s="38">
        <v>1.26284</v>
      </c>
      <c r="F13" s="38">
        <v>0.79237000000000002</v>
      </c>
      <c r="G13" s="38">
        <v>0.98699999999999999</v>
      </c>
      <c r="H13" s="38">
        <v>0.89890000000000003</v>
      </c>
      <c r="I13" s="38">
        <v>2.38</v>
      </c>
      <c r="J13" s="38">
        <v>3.21</v>
      </c>
      <c r="K13" s="38">
        <v>2.62</v>
      </c>
      <c r="L13" s="38">
        <v>1.48</v>
      </c>
      <c r="M13" s="38">
        <v>0.7</v>
      </c>
      <c r="N13" s="38">
        <v>1.54</v>
      </c>
      <c r="O13" s="38">
        <v>5.26</v>
      </c>
      <c r="P13" s="38">
        <v>7.09</v>
      </c>
      <c r="Q13" s="38">
        <v>3.21</v>
      </c>
      <c r="R13" s="38">
        <v>3.31</v>
      </c>
      <c r="S13" s="38">
        <v>3.74</v>
      </c>
      <c r="T13" s="38">
        <v>4.8499999999999996</v>
      </c>
      <c r="U13" s="38">
        <v>3.69</v>
      </c>
      <c r="V13" s="38">
        <v>3.88</v>
      </c>
      <c r="W13" s="37">
        <v>6.22</v>
      </c>
      <c r="X13" s="51">
        <f t="shared" si="0"/>
        <v>0.60309278350515472</v>
      </c>
      <c r="Y13" s="51">
        <f t="shared" si="1"/>
        <v>0.66310160427807463</v>
      </c>
    </row>
    <row r="14" spans="1:25" s="35" customFormat="1" ht="15.6" x14ac:dyDescent="0.3">
      <c r="A14" s="35" t="s">
        <v>122</v>
      </c>
      <c r="B14" s="35">
        <v>93.259</v>
      </c>
      <c r="C14" s="35">
        <v>97.787999999999997</v>
      </c>
      <c r="D14" s="35">
        <v>92.830439999999996</v>
      </c>
      <c r="E14" s="35">
        <v>95.736189999999993</v>
      </c>
      <c r="F14" s="35">
        <v>101.75138</v>
      </c>
      <c r="G14" s="35">
        <v>107.42700000000001</v>
      </c>
      <c r="H14" s="35">
        <v>105.8686</v>
      </c>
      <c r="I14" s="35">
        <f>I3+I8</f>
        <v>108.37</v>
      </c>
      <c r="J14" s="35">
        <f>J3+J8</f>
        <v>117.09</v>
      </c>
      <c r="K14" s="35">
        <v>121.96</v>
      </c>
      <c r="L14" s="35">
        <v>121.2</v>
      </c>
      <c r="M14" s="35">
        <v>133.16999999999999</v>
      </c>
      <c r="N14" s="35">
        <v>141.46</v>
      </c>
      <c r="O14" s="35">
        <v>143.83000000000001</v>
      </c>
      <c r="P14" s="35">
        <v>140.91999999999999</v>
      </c>
      <c r="Q14" s="35">
        <v>143.09</v>
      </c>
      <c r="R14" s="35">
        <v>147.96</v>
      </c>
      <c r="S14" s="35">
        <v>150.32</v>
      </c>
      <c r="T14" s="35">
        <v>157.68</v>
      </c>
      <c r="U14" s="35">
        <v>153.13</v>
      </c>
      <c r="V14" s="35">
        <v>151.63999999999999</v>
      </c>
      <c r="W14" s="45">
        <v>151.47</v>
      </c>
      <c r="X14" s="50">
        <f t="shared" si="0"/>
        <v>-1.1210762331838042E-3</v>
      </c>
      <c r="Y14" s="50">
        <f t="shared" si="1"/>
        <v>7.6503459286854092E-3</v>
      </c>
    </row>
    <row r="15" spans="1:25" s="55" customFormat="1" ht="15.6" x14ac:dyDescent="0.3">
      <c r="A15" s="55" t="s">
        <v>110</v>
      </c>
      <c r="X15" s="12"/>
      <c r="Y15" s="12"/>
    </row>
    <row r="16" spans="1:25" s="34" customFormat="1" ht="15.6" x14ac:dyDescent="0.3">
      <c r="A16" s="4" t="s">
        <v>123</v>
      </c>
      <c r="B16" s="35">
        <v>39.746000000000002</v>
      </c>
      <c r="C16" s="35">
        <v>42.561999999999998</v>
      </c>
      <c r="D16" s="35">
        <v>41.82405</v>
      </c>
      <c r="E16" s="35">
        <v>43.084409999999998</v>
      </c>
      <c r="F16" s="35">
        <v>43.921950000000002</v>
      </c>
      <c r="G16" s="35">
        <v>45.561999999999998</v>
      </c>
      <c r="H16" s="34">
        <v>46.305790000000002</v>
      </c>
      <c r="I16" s="34">
        <v>46.77</v>
      </c>
      <c r="J16" s="34">
        <v>48.63</v>
      </c>
      <c r="K16" s="34">
        <v>51.43</v>
      </c>
      <c r="L16" s="34">
        <v>52.43</v>
      </c>
      <c r="M16" s="35">
        <f>54.21-1.6</f>
        <v>52.61</v>
      </c>
      <c r="N16" s="35">
        <v>54.95</v>
      </c>
      <c r="O16" s="35">
        <v>53.85</v>
      </c>
      <c r="P16" s="35">
        <v>54.75</v>
      </c>
      <c r="Q16" s="35">
        <v>52.61</v>
      </c>
      <c r="R16" s="35">
        <v>52.04</v>
      </c>
      <c r="S16" s="35">
        <v>45.65</v>
      </c>
      <c r="T16" s="35">
        <v>48.53</v>
      </c>
      <c r="U16" s="35">
        <v>49.87</v>
      </c>
      <c r="V16" s="35">
        <v>50.61</v>
      </c>
      <c r="W16" s="45">
        <v>52.39</v>
      </c>
      <c r="X16" s="52">
        <f t="shared" ref="X16:X29" si="2">W16/V16-1</f>
        <v>3.5170914838964729E-2</v>
      </c>
      <c r="Y16" s="52">
        <f t="shared" ref="Y16:Y29" si="3">W16/S16-1</f>
        <v>0.14764512595837909</v>
      </c>
    </row>
    <row r="17" spans="1:26" s="38" customFormat="1" x14ac:dyDescent="0.25">
      <c r="A17" s="10" t="s">
        <v>124</v>
      </c>
      <c r="B17" s="38">
        <v>-0.66600000000000004</v>
      </c>
      <c r="C17" s="38">
        <v>-1.552</v>
      </c>
      <c r="D17" s="38">
        <v>-1.5623400000000001</v>
      </c>
      <c r="E17" s="38">
        <v>-1.552</v>
      </c>
      <c r="F17" s="38">
        <v>-1.552</v>
      </c>
      <c r="G17" s="38">
        <v>-1.4690000000000001</v>
      </c>
      <c r="H17" s="38">
        <v>-1.4831799999999999</v>
      </c>
      <c r="I17" s="38">
        <v>-1.06</v>
      </c>
      <c r="J17" s="38">
        <v>-1.69</v>
      </c>
      <c r="K17" s="38">
        <v>-1.54</v>
      </c>
      <c r="L17" s="38">
        <v>-1.67</v>
      </c>
      <c r="M17" s="38">
        <v>-1.6</v>
      </c>
      <c r="N17" s="38">
        <v>-1.65</v>
      </c>
      <c r="O17" s="38">
        <v>-2.06</v>
      </c>
      <c r="P17" s="38">
        <v>-2.0499999999999998</v>
      </c>
      <c r="Q17" s="38">
        <v>-1.64</v>
      </c>
      <c r="R17" s="38">
        <v>-2.25</v>
      </c>
      <c r="S17" s="38">
        <v>-2.09</v>
      </c>
      <c r="T17" s="38">
        <v>-1.62</v>
      </c>
      <c r="U17" s="38">
        <v>-1.91</v>
      </c>
      <c r="V17" s="38">
        <v>-2.1030000000000002</v>
      </c>
      <c r="W17" s="37">
        <v>-1.83</v>
      </c>
      <c r="X17" s="51">
        <f t="shared" si="2"/>
        <v>-0.12981455064194014</v>
      </c>
      <c r="Y17" s="51">
        <f t="shared" si="3"/>
        <v>-0.12440191387559796</v>
      </c>
    </row>
    <row r="18" spans="1:26" s="35" customFormat="1" ht="15.6" x14ac:dyDescent="0.3">
      <c r="A18" s="4" t="s">
        <v>125</v>
      </c>
      <c r="B18" s="35">
        <v>11.294</v>
      </c>
      <c r="C18" s="35">
        <v>14.211</v>
      </c>
      <c r="D18" s="35">
        <v>14.03058</v>
      </c>
      <c r="E18" s="35">
        <v>13.18304</v>
      </c>
      <c r="F18" s="35">
        <v>14.02187</v>
      </c>
      <c r="G18" s="35">
        <v>13.750999999999999</v>
      </c>
      <c r="H18" s="35">
        <v>13.27835</v>
      </c>
      <c r="I18" s="35">
        <v>13.35</v>
      </c>
      <c r="J18" s="35">
        <v>15.47</v>
      </c>
      <c r="K18" s="35">
        <v>14.36</v>
      </c>
      <c r="L18" s="35">
        <v>14.66</v>
      </c>
      <c r="M18" s="35">
        <v>16.48</v>
      </c>
      <c r="N18" s="35">
        <v>16.57</v>
      </c>
      <c r="O18" s="35">
        <v>14.93</v>
      </c>
      <c r="P18" s="35">
        <v>18.25</v>
      </c>
      <c r="Q18" s="35">
        <v>17.41</v>
      </c>
      <c r="R18" s="35">
        <v>16.63</v>
      </c>
      <c r="S18" s="35">
        <v>14.17</v>
      </c>
      <c r="T18" s="35">
        <v>12.94</v>
      </c>
      <c r="U18" s="35">
        <v>13.37</v>
      </c>
      <c r="V18" s="35">
        <v>12.61</v>
      </c>
      <c r="W18" s="45">
        <v>11.25</v>
      </c>
      <c r="X18" s="50">
        <f t="shared" si="2"/>
        <v>-0.10785091197462326</v>
      </c>
      <c r="Y18" s="50">
        <f t="shared" si="3"/>
        <v>-0.20606916019760058</v>
      </c>
    </row>
    <row r="19" spans="1:26" s="38" customFormat="1" x14ac:dyDescent="0.25">
      <c r="A19" s="10" t="s">
        <v>126</v>
      </c>
      <c r="B19" s="38">
        <v>0.92400000000000004</v>
      </c>
      <c r="C19" s="38">
        <v>4.952</v>
      </c>
      <c r="D19" s="38">
        <v>4.8291199999999996</v>
      </c>
      <c r="E19" s="38">
        <v>4.4506300000000003</v>
      </c>
      <c r="F19" s="38">
        <v>4.2205599999999999</v>
      </c>
      <c r="G19" s="38">
        <v>4.149</v>
      </c>
      <c r="H19" s="38">
        <v>3.9385300000000001</v>
      </c>
      <c r="I19" s="38">
        <v>4.18</v>
      </c>
      <c r="J19" s="38">
        <v>4.78</v>
      </c>
      <c r="K19" s="38">
        <v>4.75</v>
      </c>
      <c r="L19" s="38">
        <v>4.47</v>
      </c>
      <c r="M19" s="38">
        <v>4.18</v>
      </c>
      <c r="N19" s="38">
        <v>3.99</v>
      </c>
      <c r="O19" s="38">
        <v>3.78</v>
      </c>
      <c r="P19" s="38">
        <v>3.59</v>
      </c>
      <c r="Q19" s="38">
        <v>3.22</v>
      </c>
      <c r="R19" s="38">
        <v>3.22</v>
      </c>
      <c r="S19" s="38">
        <v>2.64</v>
      </c>
      <c r="T19" s="38">
        <v>2.35</v>
      </c>
      <c r="U19" s="38">
        <v>2.08</v>
      </c>
      <c r="V19" s="38">
        <v>1.83</v>
      </c>
      <c r="W19" s="37">
        <v>1.66</v>
      </c>
      <c r="X19" s="51">
        <f t="shared" si="2"/>
        <v>-9.2896174863388081E-2</v>
      </c>
      <c r="Y19" s="51">
        <f t="shared" si="3"/>
        <v>-0.37121212121212133</v>
      </c>
    </row>
    <row r="20" spans="1:26" s="38" customFormat="1" x14ac:dyDescent="0.25">
      <c r="A20" s="10" t="s">
        <v>127</v>
      </c>
      <c r="B20" s="38">
        <v>1.2070000000000001</v>
      </c>
      <c r="C20" s="38">
        <v>1.367</v>
      </c>
      <c r="D20" s="38">
        <v>1.4194</v>
      </c>
      <c r="E20" s="38">
        <v>0.98841999999999997</v>
      </c>
      <c r="F20" s="38">
        <v>1.9958800000000001</v>
      </c>
      <c r="G20" s="38">
        <v>2.4950000000000001</v>
      </c>
      <c r="H20" s="38">
        <v>2.22953</v>
      </c>
      <c r="I20" s="38">
        <v>1.81</v>
      </c>
      <c r="J20" s="38">
        <v>2.36</v>
      </c>
      <c r="K20" s="38">
        <v>3.06</v>
      </c>
      <c r="L20" s="38">
        <f>3.56+0.3+0.79+0.12-0.01</f>
        <v>4.7600000000000007</v>
      </c>
      <c r="M20" s="38">
        <v>5.61</v>
      </c>
      <c r="N20" s="38">
        <v>6.55</v>
      </c>
      <c r="O20" s="38">
        <v>6.07</v>
      </c>
      <c r="P20" s="38">
        <v>9.42</v>
      </c>
      <c r="Q20" s="38">
        <v>8.9700000000000006</v>
      </c>
      <c r="R20" s="38">
        <v>9.7200000000000006</v>
      </c>
      <c r="S20" s="38">
        <v>7.04</v>
      </c>
      <c r="T20" s="38">
        <v>6.07</v>
      </c>
      <c r="U20" s="38">
        <v>5.63</v>
      </c>
      <c r="V20" s="38">
        <v>5.0999999999999996</v>
      </c>
      <c r="W20" s="37">
        <v>3.92</v>
      </c>
      <c r="X20" s="51">
        <f t="shared" si="2"/>
        <v>-0.2313725490196078</v>
      </c>
      <c r="Y20" s="51">
        <f t="shared" si="3"/>
        <v>-0.44318181818181823</v>
      </c>
    </row>
    <row r="21" spans="1:26" s="38" customFormat="1" x14ac:dyDescent="0.25">
      <c r="A21" s="10" t="s">
        <v>128</v>
      </c>
      <c r="B21" s="38">
        <v>8.9380000000000006</v>
      </c>
      <c r="C21" s="38">
        <v>7.6440000000000001</v>
      </c>
      <c r="D21" s="38">
        <v>7.5858400000000001</v>
      </c>
      <c r="E21" s="38">
        <v>7.5584699999999998</v>
      </c>
      <c r="F21" s="38">
        <v>7.7574069999999997</v>
      </c>
      <c r="G21" s="38">
        <v>6.7110000000000003</v>
      </c>
      <c r="H21" s="38">
        <v>6.7125700000000004</v>
      </c>
      <c r="I21" s="38">
        <v>6.97</v>
      </c>
      <c r="J21" s="38">
        <v>6.67</v>
      </c>
      <c r="K21" s="38">
        <v>5.43</v>
      </c>
      <c r="L21" s="38">
        <v>5.43</v>
      </c>
      <c r="M21" s="38">
        <f>5.4+1.17+0.12</f>
        <v>6.69</v>
      </c>
      <c r="N21" s="38">
        <v>6.03</v>
      </c>
      <c r="O21" s="38">
        <v>3.64</v>
      </c>
      <c r="P21" s="38">
        <v>5.24</v>
      </c>
      <c r="Q21" s="38">
        <f>3.66+1.24+0.31+0.01</f>
        <v>5.22</v>
      </c>
      <c r="R21" s="38">
        <v>3.69</v>
      </c>
      <c r="S21" s="38">
        <f>2.63+1.42+0.37+0.07</f>
        <v>4.49</v>
      </c>
      <c r="T21" s="38">
        <v>4.5199999999999996</v>
      </c>
      <c r="U21" s="38">
        <v>5.66</v>
      </c>
      <c r="V21" s="38">
        <f>3.7+0.07+0.37+1.54</f>
        <v>5.68</v>
      </c>
      <c r="W21" s="37">
        <f>0.07+0.37+1.63+3.6</f>
        <v>5.67</v>
      </c>
      <c r="X21" s="51">
        <f t="shared" si="2"/>
        <v>-1.7605633802816323E-3</v>
      </c>
      <c r="Y21" s="51">
        <f t="shared" si="3"/>
        <v>0.26280623608017817</v>
      </c>
    </row>
    <row r="22" spans="1:26" s="35" customFormat="1" ht="15.6" x14ac:dyDescent="0.3">
      <c r="A22" s="4" t="s">
        <v>129</v>
      </c>
      <c r="B22" s="35">
        <v>42.219000000000001</v>
      </c>
      <c r="C22" s="35">
        <v>41.014000000000003</v>
      </c>
      <c r="D22" s="35">
        <v>36.975810000000003</v>
      </c>
      <c r="E22" s="35">
        <v>39.468739999999997</v>
      </c>
      <c r="F22" s="35">
        <v>43.807560000000002</v>
      </c>
      <c r="G22" s="35">
        <v>48.09</v>
      </c>
      <c r="H22" s="35">
        <v>46.284460000000003</v>
      </c>
      <c r="I22" s="35">
        <v>48.25</v>
      </c>
      <c r="J22" s="35">
        <v>52.99</v>
      </c>
      <c r="K22" s="35">
        <v>56.17</v>
      </c>
      <c r="L22" s="35">
        <v>54.11</v>
      </c>
      <c r="M22" s="35">
        <v>64.08</v>
      </c>
      <c r="N22" s="35">
        <v>69.94</v>
      </c>
      <c r="O22" s="35">
        <v>75.05</v>
      </c>
      <c r="P22" s="35">
        <v>67.92</v>
      </c>
      <c r="Q22" s="35">
        <v>73.069999999999993</v>
      </c>
      <c r="R22" s="35">
        <v>79.290000000000006</v>
      </c>
      <c r="S22" s="35">
        <v>90.5</v>
      </c>
      <c r="T22" s="35">
        <v>96.21</v>
      </c>
      <c r="U22" s="35">
        <v>89.89</v>
      </c>
      <c r="V22" s="35">
        <v>88.42</v>
      </c>
      <c r="W22" s="45">
        <v>87.83</v>
      </c>
      <c r="X22" s="50">
        <f t="shared" si="2"/>
        <v>-6.6726984845058013E-3</v>
      </c>
      <c r="Y22" s="50">
        <f t="shared" si="3"/>
        <v>-2.95027624309393E-2</v>
      </c>
    </row>
    <row r="23" spans="1:26" s="38" customFormat="1" ht="15.6" x14ac:dyDescent="0.3">
      <c r="A23" s="10" t="s">
        <v>130</v>
      </c>
      <c r="B23" s="38">
        <v>11.003</v>
      </c>
      <c r="C23" s="38">
        <v>13.885</v>
      </c>
      <c r="D23" s="38">
        <v>14.427960000000001</v>
      </c>
      <c r="E23" s="38">
        <v>15.008649999999999</v>
      </c>
      <c r="F23" s="38">
        <v>14.36107</v>
      </c>
      <c r="G23" s="38">
        <v>16.079999999999998</v>
      </c>
      <c r="H23" s="38">
        <v>13.48868</v>
      </c>
      <c r="I23" s="38">
        <v>14.02</v>
      </c>
      <c r="J23" s="38">
        <v>18.34</v>
      </c>
      <c r="K23" s="38">
        <v>17.579999999999998</v>
      </c>
      <c r="L23" s="38">
        <v>19.309999999999999</v>
      </c>
      <c r="M23" s="38">
        <v>22.97</v>
      </c>
      <c r="N23" s="38">
        <v>22.94</v>
      </c>
      <c r="O23" s="38">
        <f>24.52-0.8</f>
        <v>23.72</v>
      </c>
      <c r="P23" s="38">
        <v>27.47</v>
      </c>
      <c r="Q23" s="38">
        <v>29.43</v>
      </c>
      <c r="R23" s="38">
        <v>32.31</v>
      </c>
      <c r="S23" s="38">
        <v>34</v>
      </c>
      <c r="T23" s="38">
        <v>37</v>
      </c>
      <c r="U23" s="38">
        <v>33.11</v>
      </c>
      <c r="V23" s="38">
        <v>34.18</v>
      </c>
      <c r="W23" s="37">
        <v>34.96</v>
      </c>
      <c r="X23" s="51">
        <f t="shared" si="2"/>
        <v>2.2820362785254567E-2</v>
      </c>
      <c r="Y23" s="51">
        <f t="shared" si="3"/>
        <v>2.8235294117647136E-2</v>
      </c>
      <c r="Z23" s="35"/>
    </row>
    <row r="24" spans="1:26" s="38" customFormat="1" x14ac:dyDescent="0.25">
      <c r="A24" s="10" t="s">
        <v>131</v>
      </c>
      <c r="B24" s="38">
        <v>4.7679999999999998</v>
      </c>
      <c r="C24" s="38">
        <v>4.1550000000000002</v>
      </c>
      <c r="D24" s="38">
        <v>4.4484300000000001</v>
      </c>
      <c r="E24" s="38">
        <v>4.59239</v>
      </c>
      <c r="F24" s="38">
        <v>5.8044000000000002</v>
      </c>
      <c r="G24" s="38">
        <v>4.3739999999999997</v>
      </c>
      <c r="H24" s="38">
        <v>6.7157099999999996</v>
      </c>
      <c r="I24" s="38">
        <v>7.23</v>
      </c>
      <c r="J24" s="38">
        <v>5.52</v>
      </c>
      <c r="K24" s="38">
        <v>6.82</v>
      </c>
      <c r="L24" s="38">
        <v>8.7799999999999994</v>
      </c>
      <c r="M24" s="38">
        <v>8.02</v>
      </c>
      <c r="N24" s="38">
        <v>10.26</v>
      </c>
      <c r="O24" s="38">
        <v>9.66</v>
      </c>
      <c r="P24" s="38">
        <v>8.9499999999999993</v>
      </c>
      <c r="Q24" s="38">
        <v>17.14</v>
      </c>
      <c r="R24" s="38">
        <v>18.09</v>
      </c>
      <c r="S24" s="38">
        <v>15.85</v>
      </c>
      <c r="T24" s="38">
        <v>16.52</v>
      </c>
      <c r="U24" s="38">
        <v>16.5</v>
      </c>
      <c r="V24" s="38">
        <v>20.87</v>
      </c>
      <c r="W24" s="37">
        <v>18.5</v>
      </c>
      <c r="X24" s="51">
        <f t="shared" si="2"/>
        <v>-0.11356013416387167</v>
      </c>
      <c r="Y24" s="51">
        <f t="shared" si="3"/>
        <v>0.16719242902208209</v>
      </c>
    </row>
    <row r="25" spans="1:26" s="38" customFormat="1" x14ac:dyDescent="0.25">
      <c r="A25" s="10" t="s">
        <v>132</v>
      </c>
      <c r="B25" s="38">
        <v>21.260999999999999</v>
      </c>
      <c r="C25" s="38">
        <v>17.181000000000001</v>
      </c>
      <c r="D25" s="38">
        <v>12.296720000000001</v>
      </c>
      <c r="E25" s="38">
        <v>14.35238</v>
      </c>
      <c r="F25" s="38">
        <v>15.56607</v>
      </c>
      <c r="G25" s="38">
        <v>21.100999999999999</v>
      </c>
      <c r="H25" s="38">
        <v>19.199719999999999</v>
      </c>
      <c r="I25" s="38">
        <v>16.91</v>
      </c>
      <c r="J25" s="38">
        <v>18.29</v>
      </c>
      <c r="K25" s="38">
        <v>21.29</v>
      </c>
      <c r="L25" s="38">
        <v>14.26</v>
      </c>
      <c r="M25" s="38">
        <f>19.09</f>
        <v>19.09</v>
      </c>
      <c r="N25" s="38">
        <v>22.7</v>
      </c>
      <c r="O25" s="38">
        <v>29.88</v>
      </c>
      <c r="P25" s="38">
        <v>19.13</v>
      </c>
      <c r="Q25" s="38">
        <v>15.21</v>
      </c>
      <c r="R25" s="38">
        <v>17.96</v>
      </c>
      <c r="S25" s="38">
        <v>29.99</v>
      </c>
      <c r="T25" s="38">
        <v>29.54</v>
      </c>
      <c r="U25" s="38">
        <v>23</v>
      </c>
      <c r="V25" s="38">
        <v>18.13</v>
      </c>
      <c r="W25" s="37">
        <v>20.07</v>
      </c>
      <c r="X25" s="51">
        <f t="shared" si="2"/>
        <v>0.10700496414782146</v>
      </c>
      <c r="Y25" s="51">
        <f t="shared" si="3"/>
        <v>-0.33077692564188055</v>
      </c>
    </row>
    <row r="26" spans="1:26" s="38" customFormat="1" x14ac:dyDescent="0.25">
      <c r="A26" s="10" t="s">
        <v>131</v>
      </c>
      <c r="B26" s="38">
        <v>3.3809999999999998</v>
      </c>
      <c r="C26" s="38">
        <v>4.2569999999999997</v>
      </c>
      <c r="D26" s="38">
        <v>4.0276500000000004</v>
      </c>
      <c r="E26" s="38">
        <v>3.6376900000000001</v>
      </c>
      <c r="F26" s="38">
        <v>4.6780499999999998</v>
      </c>
      <c r="G26" s="38">
        <v>4.7350000000000003</v>
      </c>
      <c r="H26" s="38">
        <v>4.51206</v>
      </c>
      <c r="I26" s="38">
        <v>5.75</v>
      </c>
      <c r="J26" s="38">
        <v>5.15</v>
      </c>
      <c r="K26" s="38">
        <v>6.06</v>
      </c>
      <c r="L26" s="38">
        <v>6.24</v>
      </c>
      <c r="M26" s="38">
        <v>7.92</v>
      </c>
      <c r="N26" s="38">
        <v>6.74</v>
      </c>
      <c r="O26" s="38">
        <v>7.25</v>
      </c>
      <c r="P26" s="38">
        <v>7.37</v>
      </c>
      <c r="Q26" s="38">
        <f>7.71</f>
        <v>7.71</v>
      </c>
      <c r="R26" s="38">
        <v>6.45</v>
      </c>
      <c r="S26" s="38">
        <v>6.6</v>
      </c>
      <c r="T26" s="38">
        <v>8.33</v>
      </c>
      <c r="U26" s="38">
        <v>9.32</v>
      </c>
      <c r="V26" s="38">
        <f>6.76</f>
        <v>6.76</v>
      </c>
      <c r="W26" s="37">
        <v>5.68</v>
      </c>
      <c r="X26" s="51">
        <f t="shared" si="2"/>
        <v>-0.15976331360946749</v>
      </c>
      <c r="Y26" s="51">
        <f t="shared" si="3"/>
        <v>-0.1393939393939394</v>
      </c>
    </row>
    <row r="27" spans="1:26" s="38" customFormat="1" x14ac:dyDescent="0.25">
      <c r="A27" s="10" t="s">
        <v>133</v>
      </c>
      <c r="B27" s="38">
        <v>0.82699999999999996</v>
      </c>
      <c r="C27" s="38">
        <v>0.92700000000000005</v>
      </c>
      <c r="D27" s="38">
        <v>1.2202</v>
      </c>
      <c r="E27" s="38">
        <v>1.7579800000000001</v>
      </c>
      <c r="F27" s="38">
        <v>2.8669899999999999</v>
      </c>
      <c r="G27" s="38">
        <v>1.1830000000000001</v>
      </c>
      <c r="H27" s="38">
        <v>1.76814</v>
      </c>
      <c r="I27" s="38">
        <v>3.82</v>
      </c>
      <c r="J27" s="38">
        <v>4.7300000000000004</v>
      </c>
      <c r="K27" s="38">
        <v>4.22</v>
      </c>
      <c r="L27" s="38">
        <f>0.46+5.06</f>
        <v>5.52</v>
      </c>
      <c r="M27" s="38">
        <v>6.08</v>
      </c>
      <c r="N27" s="38">
        <v>7.3</v>
      </c>
      <c r="O27" s="38">
        <v>4.22</v>
      </c>
      <c r="P27" s="38">
        <v>5</v>
      </c>
      <c r="Q27" s="38">
        <f>2.67+0.63+0.24+0.04</f>
        <v>3.58</v>
      </c>
      <c r="R27" s="38">
        <v>4.4800000000000004</v>
      </c>
      <c r="S27" s="38">
        <f>2.77+0.58+0.7+0.01</f>
        <v>4.0599999999999996</v>
      </c>
      <c r="T27" s="38">
        <v>4.82</v>
      </c>
      <c r="U27" s="38">
        <v>7.96</v>
      </c>
      <c r="V27" s="38">
        <f>0.95+0.58+6.95</f>
        <v>8.48</v>
      </c>
      <c r="W27" s="37">
        <v>8.6199999999999992</v>
      </c>
      <c r="X27" s="51">
        <f t="shared" si="2"/>
        <v>1.6509433962264008E-2</v>
      </c>
      <c r="Y27" s="51">
        <f t="shared" si="3"/>
        <v>1.1231527093596059</v>
      </c>
    </row>
    <row r="28" spans="1:26" s="35" customFormat="1" ht="15.6" x14ac:dyDescent="0.3">
      <c r="A28" s="4" t="s">
        <v>134</v>
      </c>
      <c r="B28" s="35">
        <v>93.259</v>
      </c>
      <c r="C28" s="35">
        <v>97.787999999999997</v>
      </c>
      <c r="D28" s="35">
        <v>92.830439999999996</v>
      </c>
      <c r="E28" s="35">
        <v>95.736189999999993</v>
      </c>
      <c r="F28" s="35">
        <v>101.75138</v>
      </c>
      <c r="G28" s="35">
        <v>107.42700000000001</v>
      </c>
      <c r="H28" s="35">
        <v>105.8686</v>
      </c>
      <c r="I28" s="35">
        <f>I16+I18+I22</f>
        <v>108.37</v>
      </c>
      <c r="J28" s="35">
        <f>J16+J18+J22</f>
        <v>117.09</v>
      </c>
      <c r="K28" s="35">
        <v>121.96</v>
      </c>
      <c r="L28" s="35">
        <v>121.2</v>
      </c>
      <c r="M28" s="35">
        <v>133.16999999999999</v>
      </c>
      <c r="N28" s="35">
        <v>141.46</v>
      </c>
      <c r="O28" s="35">
        <v>143.83000000000001</v>
      </c>
      <c r="P28" s="35">
        <v>140.91999999999999</v>
      </c>
      <c r="Q28" s="35">
        <v>143.09</v>
      </c>
      <c r="R28" s="35">
        <v>147.96</v>
      </c>
      <c r="S28" s="35">
        <v>150.32</v>
      </c>
      <c r="T28" s="35">
        <v>157.68</v>
      </c>
      <c r="U28" s="35">
        <v>153.13</v>
      </c>
      <c r="V28" s="35">
        <v>151.63999999999999</v>
      </c>
      <c r="W28" s="45">
        <v>151.47</v>
      </c>
      <c r="X28" s="50">
        <f t="shared" si="2"/>
        <v>-1.1210762331838042E-3</v>
      </c>
      <c r="Y28" s="50">
        <f t="shared" si="3"/>
        <v>7.6503459286854092E-3</v>
      </c>
    </row>
    <row r="29" spans="1:26" s="38" customFormat="1" x14ac:dyDescent="0.25">
      <c r="A29" s="10" t="s">
        <v>135</v>
      </c>
      <c r="B29" s="38">
        <v>5.52</v>
      </c>
      <c r="C29" s="38">
        <v>5.91</v>
      </c>
      <c r="D29" s="38">
        <v>12.9</v>
      </c>
      <c r="E29" s="38">
        <v>13.3</v>
      </c>
      <c r="F29" s="38">
        <v>14.13</v>
      </c>
      <c r="G29" s="38">
        <v>14.92</v>
      </c>
      <c r="H29" s="38">
        <v>14.71</v>
      </c>
      <c r="I29" s="38">
        <v>15.05</v>
      </c>
      <c r="J29" s="38">
        <v>16.260000000000002</v>
      </c>
      <c r="K29" s="38">
        <v>17.04</v>
      </c>
      <c r="L29" s="38">
        <v>16.84</v>
      </c>
      <c r="M29" s="38">
        <v>18.5</v>
      </c>
      <c r="N29" s="38">
        <v>19.649999999999999</v>
      </c>
      <c r="O29" s="38">
        <v>19.98</v>
      </c>
      <c r="P29" s="38">
        <v>19.579999999999998</v>
      </c>
      <c r="Q29" s="38">
        <v>19.88</v>
      </c>
      <c r="R29" s="38">
        <v>20.55</v>
      </c>
      <c r="S29" s="38">
        <v>20.88</v>
      </c>
      <c r="T29" s="38">
        <v>21.9</v>
      </c>
      <c r="U29" s="38">
        <v>21.27</v>
      </c>
      <c r="V29" s="38">
        <v>21.07</v>
      </c>
      <c r="W29" s="37">
        <v>21.04</v>
      </c>
      <c r="X29" s="51">
        <f t="shared" si="2"/>
        <v>-1.4238253440911341E-3</v>
      </c>
      <c r="Y29" s="51">
        <f t="shared" si="3"/>
        <v>7.6628352490422103E-3</v>
      </c>
    </row>
    <row r="30" spans="1:26" s="32" customFormat="1" x14ac:dyDescent="0.25">
      <c r="L30" s="40"/>
      <c r="W30" s="13"/>
      <c r="X30" s="48"/>
      <c r="Y30" s="48"/>
    </row>
    <row r="31" spans="1:26" x14ac:dyDescent="0.25">
      <c r="W31" s="13"/>
      <c r="X31" s="54"/>
      <c r="Y31" s="43"/>
    </row>
    <row r="32" spans="1:26" x14ac:dyDescent="0.25">
      <c r="W32" s="13"/>
      <c r="X32" s="54"/>
      <c r="Y32" s="43"/>
    </row>
    <row r="33" spans="23:23" x14ac:dyDescent="0.25">
      <c r="W33" s="13"/>
    </row>
    <row r="34" spans="23:23" x14ac:dyDescent="0.25">
      <c r="W34" s="13"/>
    </row>
    <row r="35" spans="23:23" x14ac:dyDescent="0.25">
      <c r="W35" s="13"/>
    </row>
    <row r="36" spans="23:23" x14ac:dyDescent="0.25">
      <c r="W36" s="13"/>
    </row>
    <row r="37" spans="23:23" x14ac:dyDescent="0.25">
      <c r="W37" s="13"/>
    </row>
    <row r="38" spans="23:23" x14ac:dyDescent="0.25">
      <c r="W38" s="13"/>
    </row>
    <row r="39" spans="23:23" x14ac:dyDescent="0.25">
      <c r="W39" s="13"/>
    </row>
    <row r="40" spans="23:23" x14ac:dyDescent="0.25">
      <c r="W40" s="13"/>
    </row>
    <row r="41" spans="23:23" x14ac:dyDescent="0.25">
      <c r="W41" s="13"/>
    </row>
    <row r="42" spans="23:23" x14ac:dyDescent="0.25">
      <c r="W42" s="13"/>
    </row>
    <row r="43" spans="23:23" x14ac:dyDescent="0.25">
      <c r="W43" s="13"/>
    </row>
    <row r="44" spans="23:23" x14ac:dyDescent="0.25">
      <c r="W44" s="13"/>
    </row>
    <row r="45" spans="23:23" x14ac:dyDescent="0.25">
      <c r="W45" s="13"/>
    </row>
    <row r="46" spans="23:23" x14ac:dyDescent="0.25">
      <c r="W46" s="13"/>
    </row>
    <row r="47" spans="23:23" x14ac:dyDescent="0.25">
      <c r="W47" s="13"/>
    </row>
    <row r="48" spans="23:23" x14ac:dyDescent="0.25">
      <c r="W48" s="13"/>
    </row>
    <row r="49" spans="23:23" x14ac:dyDescent="0.25">
      <c r="W49" s="13"/>
    </row>
    <row r="50" spans="23:23" x14ac:dyDescent="0.25">
      <c r="W50" s="13"/>
    </row>
    <row r="51" spans="23:23" x14ac:dyDescent="0.25">
      <c r="W51" s="13"/>
    </row>
    <row r="52" spans="23:23" x14ac:dyDescent="0.25">
      <c r="W52" s="13"/>
    </row>
    <row r="53" spans="23:23" x14ac:dyDescent="0.25">
      <c r="W53" s="13"/>
    </row>
    <row r="54" spans="23:23" x14ac:dyDescent="0.25">
      <c r="W54" s="13"/>
    </row>
    <row r="55" spans="23:23" x14ac:dyDescent="0.25">
      <c r="W55" s="13"/>
    </row>
    <row r="56" spans="23:23" x14ac:dyDescent="0.25">
      <c r="W56" s="13"/>
    </row>
    <row r="57" spans="23:23" x14ac:dyDescent="0.25">
      <c r="W57" s="13"/>
    </row>
    <row r="58" spans="23:23" x14ac:dyDescent="0.25">
      <c r="W58" s="13"/>
    </row>
    <row r="59" spans="23:23" x14ac:dyDescent="0.25">
      <c r="W59" s="13"/>
    </row>
    <row r="60" spans="23:23" x14ac:dyDescent="0.25">
      <c r="W60" s="13"/>
    </row>
    <row r="61" spans="23:23" x14ac:dyDescent="0.25">
      <c r="W61" s="13"/>
    </row>
    <row r="62" spans="23:23" x14ac:dyDescent="0.25">
      <c r="W62" s="13"/>
    </row>
    <row r="63" spans="23:23" x14ac:dyDescent="0.25">
      <c r="W63" s="13"/>
    </row>
    <row r="64" spans="23:23" x14ac:dyDescent="0.25">
      <c r="W64" s="13"/>
    </row>
    <row r="65" spans="23:23" x14ac:dyDescent="0.25">
      <c r="W65" s="13"/>
    </row>
    <row r="66" spans="23:23" x14ac:dyDescent="0.25">
      <c r="W66" s="13"/>
    </row>
    <row r="67" spans="23:23" x14ac:dyDescent="0.25">
      <c r="W67" s="13"/>
    </row>
    <row r="68" spans="23:23" x14ac:dyDescent="0.25">
      <c r="W68" s="13"/>
    </row>
    <row r="69" spans="23:23" x14ac:dyDescent="0.25">
      <c r="W69" s="13"/>
    </row>
    <row r="70" spans="23:23" x14ac:dyDescent="0.25">
      <c r="W70" s="13"/>
    </row>
    <row r="71" spans="23:23" x14ac:dyDescent="0.25">
      <c r="W71" s="13"/>
    </row>
    <row r="72" spans="23:23" x14ac:dyDescent="0.25">
      <c r="W72" s="13"/>
    </row>
    <row r="73" spans="23:23" x14ac:dyDescent="0.25">
      <c r="W73" s="13"/>
    </row>
    <row r="74" spans="23:23" x14ac:dyDescent="0.25">
      <c r="W74" s="13"/>
    </row>
    <row r="75" spans="23:23" x14ac:dyDescent="0.25">
      <c r="W75" s="13"/>
    </row>
    <row r="76" spans="23:23" x14ac:dyDescent="0.25">
      <c r="W76" s="13"/>
    </row>
    <row r="77" spans="23:23" x14ac:dyDescent="0.25">
      <c r="W77" s="13"/>
    </row>
    <row r="78" spans="23:23" x14ac:dyDescent="0.25">
      <c r="W78" s="13"/>
    </row>
    <row r="79" spans="23:23" x14ac:dyDescent="0.25">
      <c r="W79" s="13"/>
    </row>
    <row r="80" spans="23:23" x14ac:dyDescent="0.25">
      <c r="W80" s="13"/>
    </row>
    <row r="81" spans="23:23" x14ac:dyDescent="0.25">
      <c r="W81" s="13"/>
    </row>
    <row r="82" spans="23:23" x14ac:dyDescent="0.25">
      <c r="W82" s="13"/>
    </row>
    <row r="83" spans="23:23" x14ac:dyDescent="0.25">
      <c r="W83" s="13"/>
    </row>
    <row r="84" spans="23:23" x14ac:dyDescent="0.25">
      <c r="W84" s="13"/>
    </row>
    <row r="85" spans="23:23" x14ac:dyDescent="0.25">
      <c r="W85" s="13"/>
    </row>
    <row r="86" spans="23:23" x14ac:dyDescent="0.25">
      <c r="W86" s="13"/>
    </row>
    <row r="87" spans="23:23" x14ac:dyDescent="0.25">
      <c r="W87" s="13"/>
    </row>
    <row r="88" spans="23:23" x14ac:dyDescent="0.25">
      <c r="W88" s="13"/>
    </row>
    <row r="89" spans="23:23" x14ac:dyDescent="0.25">
      <c r="W89" s="13"/>
    </row>
    <row r="90" spans="23:23" x14ac:dyDescent="0.25">
      <c r="W90" s="13"/>
    </row>
    <row r="91" spans="23:23" x14ac:dyDescent="0.25">
      <c r="W91" s="13"/>
    </row>
    <row r="92" spans="23:23" x14ac:dyDescent="0.25">
      <c r="W92" s="13"/>
    </row>
    <row r="93" spans="23:23" x14ac:dyDescent="0.25">
      <c r="W93" s="13"/>
    </row>
    <row r="94" spans="23:23" x14ac:dyDescent="0.25">
      <c r="W94" s="13"/>
    </row>
    <row r="95" spans="23:23" x14ac:dyDescent="0.25">
      <c r="W95" s="13"/>
    </row>
    <row r="96" spans="23:23" x14ac:dyDescent="0.25">
      <c r="W96" s="13"/>
    </row>
    <row r="97" spans="23:23" x14ac:dyDescent="0.25">
      <c r="W97" s="13"/>
    </row>
    <row r="98" spans="23:23" x14ac:dyDescent="0.25">
      <c r="W98" s="13"/>
    </row>
    <row r="99" spans="23:23" x14ac:dyDescent="0.25">
      <c r="W99" s="13"/>
    </row>
    <row r="100" spans="23:23" x14ac:dyDescent="0.25">
      <c r="W100" s="13"/>
    </row>
    <row r="101" spans="23:23" x14ac:dyDescent="0.25">
      <c r="W101" s="13"/>
    </row>
    <row r="102" spans="23:23" x14ac:dyDescent="0.25">
      <c r="W102" s="13"/>
    </row>
    <row r="103" spans="23:23" x14ac:dyDescent="0.25">
      <c r="W103" s="13"/>
    </row>
    <row r="104" spans="23:23" x14ac:dyDescent="0.25">
      <c r="W104" s="13"/>
    </row>
    <row r="105" spans="23:23" x14ac:dyDescent="0.25">
      <c r="W105" s="13"/>
    </row>
    <row r="106" spans="23:23" x14ac:dyDescent="0.25">
      <c r="W106" s="13"/>
    </row>
    <row r="107" spans="23:23" x14ac:dyDescent="0.25">
      <c r="W107" s="13"/>
    </row>
    <row r="108" spans="23:23" x14ac:dyDescent="0.25">
      <c r="W108" s="13"/>
    </row>
    <row r="109" spans="23:23" x14ac:dyDescent="0.25">
      <c r="W109" s="13"/>
    </row>
    <row r="110" spans="23:23" x14ac:dyDescent="0.25">
      <c r="W110" s="13"/>
    </row>
    <row r="111" spans="23:23" x14ac:dyDescent="0.25">
      <c r="W111" s="13"/>
    </row>
    <row r="112" spans="23:23" x14ac:dyDescent="0.25">
      <c r="W112" s="13"/>
    </row>
    <row r="113" spans="23:23" x14ac:dyDescent="0.25">
      <c r="W113" s="13"/>
    </row>
    <row r="114" spans="23:23" x14ac:dyDescent="0.25">
      <c r="W114" s="13"/>
    </row>
    <row r="115" spans="23:23" x14ac:dyDescent="0.25">
      <c r="W115" s="13"/>
    </row>
    <row r="116" spans="23:23" x14ac:dyDescent="0.25">
      <c r="W116" s="13"/>
    </row>
    <row r="117" spans="23:23" x14ac:dyDescent="0.25">
      <c r="W117" s="13"/>
    </row>
    <row r="118" spans="23:23" x14ac:dyDescent="0.25">
      <c r="W118" s="13"/>
    </row>
    <row r="119" spans="23:23" x14ac:dyDescent="0.25">
      <c r="W119" s="13"/>
    </row>
    <row r="120" spans="23:23" x14ac:dyDescent="0.25">
      <c r="W120" s="13"/>
    </row>
    <row r="121" spans="23:23" x14ac:dyDescent="0.25">
      <c r="W121" s="13"/>
    </row>
    <row r="122" spans="23:23" x14ac:dyDescent="0.25">
      <c r="W122" s="13"/>
    </row>
    <row r="123" spans="23:23" x14ac:dyDescent="0.25">
      <c r="W123" s="13"/>
    </row>
    <row r="124" spans="23:23" x14ac:dyDescent="0.25">
      <c r="W124" s="13"/>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W28"/>
  <sheetViews>
    <sheetView zoomScaleNormal="100" workbookViewId="0">
      <pane xSplit="1" ySplit="1" topLeftCell="L2" activePane="bottomRight" state="frozenSplit"/>
      <selection pane="topRight" activeCell="B1" sqref="B1"/>
      <selection pane="bottomLeft" activeCell="A39" sqref="A39"/>
      <selection pane="bottomRight" activeCell="N17" sqref="N17"/>
    </sheetView>
  </sheetViews>
  <sheetFormatPr defaultColWidth="10.54296875" defaultRowHeight="15" x14ac:dyDescent="0.25"/>
  <cols>
    <col min="1" max="1" width="41.1796875" style="10" customWidth="1"/>
    <col min="2" max="18" width="10.54296875" style="10" customWidth="1"/>
    <col min="19" max="20" width="10.54296875" style="32" customWidth="1"/>
    <col min="21" max="21" width="10.54296875" style="13"/>
    <col min="22" max="23" width="10.54296875" style="3"/>
    <col min="24" max="16384" width="10.54296875" style="10"/>
  </cols>
  <sheetData>
    <row r="1" spans="1:23" s="4" customFormat="1" ht="15.6" x14ac:dyDescent="0.3">
      <c r="A1" s="59" t="s">
        <v>136</v>
      </c>
      <c r="B1" s="34" t="s">
        <v>12</v>
      </c>
      <c r="C1" s="34" t="s">
        <v>13</v>
      </c>
      <c r="D1" s="34" t="s">
        <v>14</v>
      </c>
      <c r="E1" s="34" t="s">
        <v>15</v>
      </c>
      <c r="F1" s="34" t="s">
        <v>16</v>
      </c>
      <c r="G1" s="34" t="s">
        <v>30</v>
      </c>
      <c r="H1" s="34" t="s">
        <v>32</v>
      </c>
      <c r="I1" s="34" t="s">
        <v>36</v>
      </c>
      <c r="J1" s="34" t="s">
        <v>37</v>
      </c>
      <c r="K1" s="34" t="s">
        <v>39</v>
      </c>
      <c r="L1" s="34" t="s">
        <v>42</v>
      </c>
      <c r="M1" s="34" t="s">
        <v>44</v>
      </c>
      <c r="N1" s="34" t="s">
        <v>48</v>
      </c>
      <c r="O1" s="34" t="s">
        <v>50</v>
      </c>
      <c r="P1" s="34" t="s">
        <v>52</v>
      </c>
      <c r="Q1" s="34" t="s">
        <v>54</v>
      </c>
      <c r="R1" s="34" t="s">
        <v>56</v>
      </c>
      <c r="S1" s="35" t="s">
        <v>58</v>
      </c>
      <c r="T1" s="35" t="s">
        <v>60</v>
      </c>
      <c r="U1" s="45" t="s">
        <v>62</v>
      </c>
      <c r="V1" s="52" t="s">
        <v>79</v>
      </c>
      <c r="W1" s="52" t="s">
        <v>80</v>
      </c>
    </row>
    <row r="2" spans="1:23" s="55" customFormat="1" ht="15.6" x14ac:dyDescent="0.3">
      <c r="A2" s="55" t="s">
        <v>137</v>
      </c>
      <c r="V2" s="12"/>
      <c r="W2" s="12"/>
    </row>
    <row r="3" spans="1:23" x14ac:dyDescent="0.25">
      <c r="A3" s="10" t="s">
        <v>101</v>
      </c>
      <c r="B3" s="59">
        <v>-0.79154000000000002</v>
      </c>
      <c r="C3" s="59">
        <v>1.47777</v>
      </c>
      <c r="D3" s="59">
        <v>1.22821</v>
      </c>
      <c r="E3" s="59">
        <v>2.0459999999999998</v>
      </c>
      <c r="F3" s="59">
        <v>0.82</v>
      </c>
      <c r="G3" s="59">
        <v>1.49</v>
      </c>
      <c r="H3" s="59">
        <v>1.73</v>
      </c>
      <c r="I3" s="59">
        <v>4.629999999999999</v>
      </c>
      <c r="J3" s="59">
        <v>0.99</v>
      </c>
      <c r="K3" s="59">
        <v>1.7300000000000002</v>
      </c>
      <c r="L3" s="59">
        <f>4.79-K3-J3</f>
        <v>2.0699999999999994</v>
      </c>
      <c r="M3" s="59">
        <v>0.25</v>
      </c>
      <c r="N3" s="59">
        <v>1.08</v>
      </c>
      <c r="O3" s="59">
        <v>-2.0299999999999998</v>
      </c>
      <c r="P3" s="59">
        <v>1.08</v>
      </c>
      <c r="Q3" s="59">
        <v>-5.07</v>
      </c>
      <c r="R3" s="59">
        <v>3.31</v>
      </c>
      <c r="S3" s="38">
        <v>2.9499999999999997</v>
      </c>
      <c r="T3" s="38">
        <v>0.94</v>
      </c>
      <c r="U3" s="37">
        <v>1.73</v>
      </c>
      <c r="V3" s="60">
        <f>U3/T3-1</f>
        <v>0.84042553191489366</v>
      </c>
      <c r="W3" s="60">
        <f>U3/Q3-1</f>
        <v>-1.3412228796844181</v>
      </c>
    </row>
    <row r="4" spans="1:23" x14ac:dyDescent="0.25">
      <c r="A4" s="10" t="s">
        <v>141</v>
      </c>
      <c r="B4" s="59">
        <v>2.38307</v>
      </c>
      <c r="C4" s="59">
        <v>-0.80447999999999997</v>
      </c>
      <c r="D4" s="59">
        <v>1.0454000000000001</v>
      </c>
      <c r="E4" s="59">
        <v>-0.13700000000000001</v>
      </c>
      <c r="F4" s="59">
        <v>2.86</v>
      </c>
      <c r="G4" s="59">
        <v>1.26</v>
      </c>
      <c r="H4" s="59">
        <v>-2.09</v>
      </c>
      <c r="I4" s="59">
        <v>-2.2300000000000004</v>
      </c>
      <c r="J4" s="59">
        <v>-1.19</v>
      </c>
      <c r="K4" s="59">
        <v>-1.96</v>
      </c>
      <c r="L4" s="59">
        <f>-3.28-J4-K4</f>
        <v>-0.12999999999999989</v>
      </c>
      <c r="M4" s="59">
        <v>8.98</v>
      </c>
      <c r="N4" s="59">
        <v>-0.04</v>
      </c>
      <c r="O4" s="59">
        <v>-7.56</v>
      </c>
      <c r="P4" s="59">
        <v>-0.11</v>
      </c>
      <c r="Q4" s="59">
        <v>10.31</v>
      </c>
      <c r="R4" s="59">
        <v>-2.56</v>
      </c>
      <c r="S4" s="38">
        <v>0.19</v>
      </c>
      <c r="T4" s="38">
        <v>-3.91</v>
      </c>
      <c r="U4" s="37">
        <v>4.37</v>
      </c>
      <c r="V4" s="60">
        <f t="shared" ref="V4:V13" si="0">U4/T4-1</f>
        <v>-2.1176470588235294</v>
      </c>
      <c r="W4" s="60">
        <f t="shared" ref="W4:W13" si="1">U4/Q4-1</f>
        <v>-0.57613967022308432</v>
      </c>
    </row>
    <row r="5" spans="1:23" x14ac:dyDescent="0.25">
      <c r="A5" s="10" t="s">
        <v>142</v>
      </c>
      <c r="B5" s="59">
        <v>1.0294399999999999</v>
      </c>
      <c r="C5" s="59">
        <v>1.00759</v>
      </c>
      <c r="D5" s="59">
        <v>1.12782</v>
      </c>
      <c r="E5" s="59">
        <v>1.2889999999999999</v>
      </c>
      <c r="F5" s="59">
        <v>1.2347699999999999</v>
      </c>
      <c r="G5" s="59">
        <v>1.22</v>
      </c>
      <c r="H5" s="59">
        <v>1.28</v>
      </c>
      <c r="I5" s="59">
        <v>1.2952300000000003</v>
      </c>
      <c r="J5" s="59">
        <v>1.5</v>
      </c>
      <c r="K5" s="59">
        <v>1.6099999999999999</v>
      </c>
      <c r="L5" s="59">
        <f>4.79-J5-K5</f>
        <v>1.6800000000000002</v>
      </c>
      <c r="M5" s="59">
        <v>2.0499999999999998</v>
      </c>
      <c r="N5" s="59">
        <v>1.98</v>
      </c>
      <c r="O5" s="59">
        <v>2.09</v>
      </c>
      <c r="P5" s="59">
        <v>1.99</v>
      </c>
      <c r="Q5" s="59">
        <v>2.23</v>
      </c>
      <c r="R5" s="59">
        <v>2.2999999999999998</v>
      </c>
      <c r="S5" s="38">
        <v>2.2400000000000002</v>
      </c>
      <c r="T5" s="38">
        <v>2.4500000000000002</v>
      </c>
      <c r="U5" s="37">
        <v>2.54</v>
      </c>
      <c r="V5" s="60">
        <f t="shared" si="0"/>
        <v>3.6734693877551017E-2</v>
      </c>
      <c r="W5" s="60">
        <f t="shared" si="1"/>
        <v>0.13901345291479816</v>
      </c>
    </row>
    <row r="6" spans="1:23" x14ac:dyDescent="0.25">
      <c r="A6" s="10" t="s">
        <v>143</v>
      </c>
      <c r="B6" s="59">
        <v>0.25012000000000001</v>
      </c>
      <c r="C6" s="59">
        <v>-0.24448</v>
      </c>
      <c r="D6" s="59">
        <v>0.44131999999999999</v>
      </c>
      <c r="E6" s="59">
        <v>0.78</v>
      </c>
      <c r="F6" s="59">
        <v>-0.21937999999999999</v>
      </c>
      <c r="G6" s="59">
        <v>-0.6</v>
      </c>
      <c r="H6" s="59">
        <v>0.83</v>
      </c>
      <c r="I6" s="59">
        <v>-1.3306200000000001</v>
      </c>
      <c r="J6" s="59">
        <v>-0.03</v>
      </c>
      <c r="K6" s="59">
        <v>-0.37</v>
      </c>
      <c r="L6" s="59">
        <f>-0.28-K6-J6</f>
        <v>0.11999999999999997</v>
      </c>
      <c r="M6" s="59">
        <v>0.26</v>
      </c>
      <c r="N6" s="59">
        <v>0.01</v>
      </c>
      <c r="O6" s="59">
        <v>-0.2</v>
      </c>
      <c r="P6" s="59">
        <v>-2.37</v>
      </c>
      <c r="Q6" s="59">
        <v>-0.33</v>
      </c>
      <c r="R6" s="59">
        <v>-0.59</v>
      </c>
      <c r="S6" s="38">
        <v>-1.02</v>
      </c>
      <c r="T6" s="38">
        <v>0.26</v>
      </c>
      <c r="U6" s="37">
        <v>-0.16</v>
      </c>
      <c r="V6" s="60">
        <f t="shared" si="0"/>
        <v>-1.6153846153846154</v>
      </c>
      <c r="W6" s="60">
        <f t="shared" si="1"/>
        <v>-0.51515151515151514</v>
      </c>
    </row>
    <row r="7" spans="1:23" x14ac:dyDescent="0.25">
      <c r="A7" s="10" t="s">
        <v>144</v>
      </c>
      <c r="B7" s="59">
        <v>0.14813000000000001</v>
      </c>
      <c r="C7" s="59">
        <v>-4.4490000000000002E-2</v>
      </c>
      <c r="D7" s="59">
        <v>0.14371999999999999</v>
      </c>
      <c r="E7" s="59">
        <v>0.372</v>
      </c>
      <c r="F7" s="59">
        <v>0.16689999999999999</v>
      </c>
      <c r="G7" s="59">
        <v>0.18</v>
      </c>
      <c r="H7" s="59">
        <v>0.17</v>
      </c>
      <c r="I7" s="59">
        <v>0.21309999999999993</v>
      </c>
      <c r="J7" s="59">
        <v>0.22</v>
      </c>
      <c r="K7" s="59">
        <v>0.26</v>
      </c>
      <c r="L7" s="59">
        <f>0.78-K7-J7</f>
        <v>0.30000000000000004</v>
      </c>
      <c r="M7" s="59">
        <v>0.37</v>
      </c>
      <c r="N7" s="59">
        <v>0.34</v>
      </c>
      <c r="O7" s="59">
        <v>0.34</v>
      </c>
      <c r="P7" s="59">
        <v>0.49</v>
      </c>
      <c r="Q7" s="59">
        <v>0.49</v>
      </c>
      <c r="R7" s="59">
        <v>0.43</v>
      </c>
      <c r="S7" s="38">
        <v>0.3</v>
      </c>
      <c r="T7" s="38">
        <v>0.18</v>
      </c>
      <c r="U7" s="37">
        <v>0.41</v>
      </c>
      <c r="V7" s="60">
        <f t="shared" si="0"/>
        <v>1.2777777777777777</v>
      </c>
      <c r="W7" s="60">
        <f t="shared" si="1"/>
        <v>-0.16326530612244905</v>
      </c>
    </row>
    <row r="8" spans="1:23" x14ac:dyDescent="0.25">
      <c r="A8" s="10" t="s">
        <v>145</v>
      </c>
      <c r="B8" s="59">
        <v>0.24176</v>
      </c>
      <c r="C8" s="59">
        <v>0.19389999999999999</v>
      </c>
      <c r="D8" s="59">
        <v>1.4540299999999999</v>
      </c>
      <c r="E8" s="59">
        <v>-1.522</v>
      </c>
      <c r="F8" s="59">
        <v>0.58592</v>
      </c>
      <c r="G8" s="59">
        <v>2.0499999999999998</v>
      </c>
      <c r="H8" s="59">
        <v>2.1800000000000002</v>
      </c>
      <c r="I8" s="59">
        <v>-1.4559200000000003</v>
      </c>
      <c r="J8" s="59">
        <v>1.37</v>
      </c>
      <c r="K8" s="59">
        <v>0.48</v>
      </c>
      <c r="L8" s="59">
        <f>2.26-J8-K8</f>
        <v>0.4099999999999997</v>
      </c>
      <c r="M8" s="59">
        <v>-1.91</v>
      </c>
      <c r="N8" s="59">
        <v>0.63</v>
      </c>
      <c r="O8" s="59">
        <v>-1.37</v>
      </c>
      <c r="P8" s="59">
        <v>1.28</v>
      </c>
      <c r="Q8" s="59">
        <v>-0.98</v>
      </c>
      <c r="R8" s="59">
        <v>0.79</v>
      </c>
      <c r="S8" s="38">
        <v>2.83</v>
      </c>
      <c r="T8" s="38">
        <v>0.68</v>
      </c>
      <c r="U8" s="37">
        <v>0.02</v>
      </c>
      <c r="V8" s="60">
        <f t="shared" si="0"/>
        <v>-0.97058823529411764</v>
      </c>
      <c r="W8" s="60">
        <f t="shared" si="1"/>
        <v>-1.0204081632653061</v>
      </c>
    </row>
    <row r="9" spans="1:23" x14ac:dyDescent="0.25">
      <c r="A9" s="10" t="s">
        <v>146</v>
      </c>
      <c r="B9" s="59">
        <v>-0.85567000000000004</v>
      </c>
      <c r="C9" s="59">
        <v>6.701E-2</v>
      </c>
      <c r="D9" s="59">
        <v>-2.1099800000000002</v>
      </c>
      <c r="E9" s="59">
        <v>-2.4020000000000001</v>
      </c>
      <c r="F9" s="59">
        <v>-3.3047300000000002</v>
      </c>
      <c r="G9" s="59">
        <v>1.65</v>
      </c>
      <c r="H9" s="59">
        <v>-1.08</v>
      </c>
      <c r="I9" s="59">
        <v>-2.526999999999946E-2</v>
      </c>
      <c r="J9" s="59">
        <v>1.3</v>
      </c>
      <c r="K9" s="59">
        <v>-1.32</v>
      </c>
      <c r="L9" s="59">
        <f>-7.35-K9-J9</f>
        <v>-7.3299999999999992</v>
      </c>
      <c r="M9" s="59">
        <v>3.81</v>
      </c>
      <c r="N9" s="59">
        <v>-1.04</v>
      </c>
      <c r="O9" s="59">
        <v>-0.32</v>
      </c>
      <c r="P9" s="59">
        <v>-3.6</v>
      </c>
      <c r="Q9" s="59">
        <v>-1.07</v>
      </c>
      <c r="R9" s="59">
        <v>-4.22</v>
      </c>
      <c r="S9" s="38">
        <v>-1.46</v>
      </c>
      <c r="T9" s="38">
        <v>0.01</v>
      </c>
      <c r="U9" s="37">
        <v>-0.03</v>
      </c>
      <c r="V9" s="60">
        <f t="shared" si="0"/>
        <v>-4</v>
      </c>
      <c r="W9" s="60">
        <f t="shared" si="1"/>
        <v>-0.9719626168224299</v>
      </c>
    </row>
    <row r="10" spans="1:23" x14ac:dyDescent="0.25">
      <c r="A10" s="10" t="s">
        <v>147</v>
      </c>
      <c r="B10" s="59">
        <v>6.9498600000000001</v>
      </c>
      <c r="C10" s="59">
        <v>-3.1633</v>
      </c>
      <c r="D10" s="59">
        <v>-2.5252400000000002</v>
      </c>
      <c r="E10" s="59">
        <v>-3.2970000000000002</v>
      </c>
      <c r="F10" s="59">
        <v>4.3353599999999997</v>
      </c>
      <c r="G10" s="59">
        <v>-1.67</v>
      </c>
      <c r="H10" s="59">
        <v>-3.73</v>
      </c>
      <c r="I10" s="59">
        <v>-3.2053599999999993</v>
      </c>
      <c r="J10" s="59">
        <v>2.5</v>
      </c>
      <c r="K10" s="59">
        <v>-7.26</v>
      </c>
      <c r="L10" s="59">
        <f>-4.08-J10-K10</f>
        <v>0.67999999999999972</v>
      </c>
      <c r="M10" s="59">
        <v>-2.87</v>
      </c>
      <c r="N10" s="59">
        <v>9.4600000000000009</v>
      </c>
      <c r="O10" s="59">
        <v>-2.61</v>
      </c>
      <c r="P10" s="59">
        <v>-1.01</v>
      </c>
      <c r="Q10" s="59">
        <v>-1.89</v>
      </c>
      <c r="R10" s="59">
        <v>-2.61</v>
      </c>
      <c r="S10" s="38">
        <v>3.13</v>
      </c>
      <c r="T10" s="38">
        <v>1.1100000000000001</v>
      </c>
      <c r="U10" s="37">
        <v>0.56000000000000005</v>
      </c>
      <c r="V10" s="60">
        <f t="shared" si="0"/>
        <v>-0.49549549549549554</v>
      </c>
      <c r="W10" s="60">
        <f t="shared" si="1"/>
        <v>-1.2962962962962963</v>
      </c>
    </row>
    <row r="11" spans="1:23" x14ac:dyDescent="0.25">
      <c r="A11" s="10" t="s">
        <v>148</v>
      </c>
      <c r="B11" s="59">
        <v>-4.83596</v>
      </c>
      <c r="C11" s="59">
        <v>1.3700300000000001</v>
      </c>
      <c r="D11" s="59">
        <v>2.2540499999999999</v>
      </c>
      <c r="E11" s="59">
        <v>5.9459999999999997</v>
      </c>
      <c r="F11" s="59">
        <v>0.20008999999999999</v>
      </c>
      <c r="G11" s="59">
        <v>-1.21</v>
      </c>
      <c r="H11" s="59">
        <v>-1.35</v>
      </c>
      <c r="I11" s="59">
        <v>3.8599100000000002</v>
      </c>
      <c r="J11" s="59">
        <v>-6.85</v>
      </c>
      <c r="K11" s="59">
        <v>5.5299999999999994</v>
      </c>
      <c r="L11" s="59">
        <f>2.14-K11-J11</f>
        <v>3.4600000000000004</v>
      </c>
      <c r="M11" s="59">
        <v>7.86</v>
      </c>
      <c r="N11" s="59">
        <v>-11.4</v>
      </c>
      <c r="O11" s="59">
        <v>-3.55</v>
      </c>
      <c r="P11" s="59">
        <v>2.0099999999999998</v>
      </c>
      <c r="Q11" s="59">
        <v>12.32</v>
      </c>
      <c r="R11" s="59">
        <v>1.87</v>
      </c>
      <c r="S11" s="38">
        <v>-6.08</v>
      </c>
      <c r="T11" s="38">
        <v>-8.0500000000000007</v>
      </c>
      <c r="U11" s="37">
        <v>1.44</v>
      </c>
      <c r="V11" s="60">
        <f t="shared" si="0"/>
        <v>-1.1788819875776397</v>
      </c>
      <c r="W11" s="60">
        <f t="shared" si="1"/>
        <v>-0.88311688311688308</v>
      </c>
    </row>
    <row r="12" spans="1:23" x14ac:dyDescent="0.25">
      <c r="A12" s="10" t="s">
        <v>149</v>
      </c>
      <c r="B12" s="59">
        <v>-0.52107000000000003</v>
      </c>
      <c r="C12" s="59">
        <v>9.2300000000000004E-3</v>
      </c>
      <c r="D12" s="59">
        <v>0.25968000000000002</v>
      </c>
      <c r="E12" s="59">
        <v>-1.302</v>
      </c>
      <c r="F12" s="59">
        <v>-0.13431000000000001</v>
      </c>
      <c r="G12" s="59">
        <v>-0.35</v>
      </c>
      <c r="H12" s="59">
        <v>-0.33</v>
      </c>
      <c r="I12" s="59">
        <v>-1.5356899999999998</v>
      </c>
      <c r="J12" s="59">
        <v>-0.54</v>
      </c>
      <c r="K12" s="59">
        <v>-0.75</v>
      </c>
      <c r="L12" s="59">
        <f>-0.92-J12-K12</f>
        <v>0.37</v>
      </c>
      <c r="M12" s="59">
        <v>-0.63</v>
      </c>
      <c r="N12" s="59">
        <v>-0.09</v>
      </c>
      <c r="O12" s="59">
        <v>-0.59</v>
      </c>
      <c r="P12" s="59">
        <v>-0.33</v>
      </c>
      <c r="Q12" s="59">
        <v>-0.18</v>
      </c>
      <c r="R12" s="59">
        <v>0.02</v>
      </c>
      <c r="S12" s="38">
        <v>0.22</v>
      </c>
      <c r="T12" s="38">
        <v>-0.54</v>
      </c>
      <c r="U12" s="37">
        <v>-0.32</v>
      </c>
      <c r="V12" s="60">
        <f t="shared" si="0"/>
        <v>-0.40740740740740744</v>
      </c>
      <c r="W12" s="60">
        <f t="shared" si="1"/>
        <v>0.7777777777777779</v>
      </c>
    </row>
    <row r="13" spans="1:23" s="4" customFormat="1" ht="15.6" x14ac:dyDescent="0.3">
      <c r="A13" s="4" t="s">
        <v>150</v>
      </c>
      <c r="B13" s="34">
        <v>1.5915299999999999</v>
      </c>
      <c r="C13" s="34">
        <v>0.67329000000000006</v>
      </c>
      <c r="D13" s="34">
        <v>2.2736100000000001</v>
      </c>
      <c r="E13" s="34">
        <v>1.91</v>
      </c>
      <c r="F13" s="34">
        <v>3.6861100000000002</v>
      </c>
      <c r="G13" s="34">
        <v>2.73</v>
      </c>
      <c r="H13" s="34">
        <v>-0.36</v>
      </c>
      <c r="I13" s="34">
        <v>2.4138900000000003</v>
      </c>
      <c r="J13" s="34">
        <v>-0.2</v>
      </c>
      <c r="K13" s="34">
        <v>-0.22999999999999998</v>
      </c>
      <c r="L13" s="34">
        <f>1.5-J13-K13</f>
        <v>1.93</v>
      </c>
      <c r="M13" s="34">
        <v>9.24</v>
      </c>
      <c r="N13" s="34">
        <v>1.0409999999999999</v>
      </c>
      <c r="O13" s="34">
        <v>-9.5500000000000007</v>
      </c>
      <c r="P13" s="34">
        <v>0.93</v>
      </c>
      <c r="Q13" s="34">
        <v>5.24</v>
      </c>
      <c r="R13" s="34">
        <v>0.75</v>
      </c>
      <c r="S13" s="80">
        <v>3.1399999999999997</v>
      </c>
      <c r="T13" s="80">
        <v>-2.98</v>
      </c>
      <c r="U13" s="77">
        <v>6.11</v>
      </c>
      <c r="V13" s="52">
        <f t="shared" si="0"/>
        <v>-3.050335570469799</v>
      </c>
      <c r="W13" s="52">
        <f t="shared" si="1"/>
        <v>0.16603053435114501</v>
      </c>
    </row>
    <row r="14" spans="1:23" s="55" customFormat="1" ht="15.6" x14ac:dyDescent="0.3">
      <c r="A14" s="55" t="s">
        <v>138</v>
      </c>
      <c r="V14" s="12"/>
      <c r="W14" s="12"/>
    </row>
    <row r="15" spans="1:23" x14ac:dyDescent="0.25">
      <c r="A15" s="10" t="s">
        <v>151</v>
      </c>
      <c r="B15" s="59">
        <v>1.15E-3</v>
      </c>
      <c r="C15" s="59">
        <v>3.0000000000000001E-5</v>
      </c>
      <c r="D15" s="59">
        <v>0</v>
      </c>
      <c r="E15" s="59">
        <v>1.72</v>
      </c>
      <c r="F15" s="59">
        <v>0</v>
      </c>
      <c r="G15" s="59">
        <v>0.02</v>
      </c>
      <c r="H15" s="59">
        <v>0.43</v>
      </c>
      <c r="I15" s="59">
        <v>1.7500000000000002</v>
      </c>
      <c r="J15" s="59">
        <v>1.42</v>
      </c>
      <c r="K15" s="59">
        <v>2.23</v>
      </c>
      <c r="L15" s="59">
        <f>5.3-K15-J15</f>
        <v>1.65</v>
      </c>
      <c r="M15" s="59">
        <v>1.53</v>
      </c>
      <c r="N15" s="59">
        <v>1.9</v>
      </c>
      <c r="O15" s="59">
        <v>0.1</v>
      </c>
      <c r="P15" s="59">
        <v>0.14000000000000001</v>
      </c>
      <c r="Q15" s="59">
        <v>-0.01</v>
      </c>
      <c r="R15" s="59">
        <v>0</v>
      </c>
      <c r="S15" s="38">
        <v>0.06</v>
      </c>
      <c r="T15" s="38">
        <v>0.55000000000000004</v>
      </c>
      <c r="U15" s="37">
        <v>0.12</v>
      </c>
      <c r="V15" s="60">
        <f t="shared" ref="V15:V19" si="2">U15/T15-1</f>
        <v>-0.78181818181818186</v>
      </c>
      <c r="W15" s="60">
        <f t="shared" ref="W15:W19" si="3">U15/Q15-1</f>
        <v>-13</v>
      </c>
    </row>
    <row r="16" spans="1:23" x14ac:dyDescent="0.25">
      <c r="A16" s="10" t="s">
        <v>152</v>
      </c>
      <c r="B16" s="59">
        <v>1.15E-3</v>
      </c>
      <c r="C16" s="59">
        <v>3.0000000000000001E-5</v>
      </c>
      <c r="D16" s="59">
        <v>0</v>
      </c>
      <c r="E16" s="59">
        <v>1.72</v>
      </c>
      <c r="F16" s="59">
        <v>0</v>
      </c>
      <c r="G16" s="59">
        <v>0.02</v>
      </c>
      <c r="H16" s="59">
        <v>0.02</v>
      </c>
      <c r="I16" s="59">
        <v>1.29</v>
      </c>
      <c r="J16" s="59">
        <v>1.42</v>
      </c>
      <c r="K16" s="59">
        <v>2.2200000000000002</v>
      </c>
      <c r="L16" s="59">
        <f>4.93-K16-J16</f>
        <v>1.2899999999999996</v>
      </c>
      <c r="M16" s="59">
        <v>1.28</v>
      </c>
      <c r="N16" s="59">
        <v>1.9</v>
      </c>
      <c r="O16" s="59">
        <v>0.1</v>
      </c>
      <c r="P16" s="59">
        <v>0.14000000000000001</v>
      </c>
      <c r="Q16" s="59">
        <v>-0.01</v>
      </c>
      <c r="R16" s="59">
        <v>0</v>
      </c>
      <c r="S16" s="38">
        <v>0.06</v>
      </c>
      <c r="T16" s="38">
        <v>0.55000000000000004</v>
      </c>
      <c r="U16" s="37">
        <v>0.12</v>
      </c>
      <c r="V16" s="60">
        <f t="shared" si="2"/>
        <v>-0.78181818181818186</v>
      </c>
      <c r="W16" s="60">
        <f t="shared" si="3"/>
        <v>-13</v>
      </c>
    </row>
    <row r="17" spans="1:23" x14ac:dyDescent="0.25">
      <c r="A17" s="10" t="s">
        <v>153</v>
      </c>
      <c r="B17" s="59">
        <v>0.75741999999999998</v>
      </c>
      <c r="C17" s="59">
        <v>0.32103999999999999</v>
      </c>
      <c r="D17" s="59">
        <v>2.87181</v>
      </c>
      <c r="E17" s="59">
        <v>3.6339999999999999</v>
      </c>
      <c r="F17" s="59">
        <v>0.40576000000000001</v>
      </c>
      <c r="G17" s="59">
        <v>1.53</v>
      </c>
      <c r="H17" s="59">
        <v>3.16</v>
      </c>
      <c r="I17" s="59">
        <v>5.604239999999999</v>
      </c>
      <c r="J17" s="59">
        <v>3.5</v>
      </c>
      <c r="K17" s="59">
        <v>4.43</v>
      </c>
      <c r="L17" s="59">
        <f>10.67-K17-J17</f>
        <v>2.74</v>
      </c>
      <c r="M17" s="59">
        <v>5.04</v>
      </c>
      <c r="N17" s="59">
        <v>1.92</v>
      </c>
      <c r="O17" s="59">
        <v>2.02</v>
      </c>
      <c r="P17" s="59">
        <v>2.2400000000000002</v>
      </c>
      <c r="Q17" s="59">
        <v>2.19</v>
      </c>
      <c r="R17" s="59">
        <v>1.73</v>
      </c>
      <c r="S17" s="38">
        <v>1.1200000000000001</v>
      </c>
      <c r="T17" s="38">
        <v>1.73</v>
      </c>
      <c r="U17" s="37">
        <v>1.04</v>
      </c>
      <c r="V17" s="60">
        <f t="shared" si="2"/>
        <v>-0.39884393063583812</v>
      </c>
      <c r="W17" s="60">
        <f t="shared" si="3"/>
        <v>-0.52511415525114158</v>
      </c>
    </row>
    <row r="18" spans="1:23" x14ac:dyDescent="0.25">
      <c r="A18" s="10" t="s">
        <v>154</v>
      </c>
      <c r="B18" s="59">
        <v>0.75741999999999998</v>
      </c>
      <c r="C18" s="59">
        <v>0.32103999999999999</v>
      </c>
      <c r="D18" s="59">
        <v>2.87181</v>
      </c>
      <c r="E18" s="59">
        <v>3.6339999999999999</v>
      </c>
      <c r="F18" s="59">
        <v>0.40576000000000001</v>
      </c>
      <c r="G18" s="59">
        <v>1.53</v>
      </c>
      <c r="H18" s="59">
        <v>3.16</v>
      </c>
      <c r="I18" s="59">
        <v>5.604239999999999</v>
      </c>
      <c r="J18" s="59">
        <v>3.5</v>
      </c>
      <c r="K18" s="59">
        <v>4.43</v>
      </c>
      <c r="L18" s="59">
        <f>10.59-J18-K18</f>
        <v>2.66</v>
      </c>
      <c r="M18" s="59">
        <v>5.04</v>
      </c>
      <c r="N18" s="59">
        <v>1.92</v>
      </c>
      <c r="O18" s="59">
        <v>2.02</v>
      </c>
      <c r="P18" s="59">
        <v>2.2400000000000002</v>
      </c>
      <c r="Q18" s="59">
        <v>2.19</v>
      </c>
      <c r="R18" s="59">
        <v>1.73</v>
      </c>
      <c r="S18" s="38">
        <v>1.1200000000000001</v>
      </c>
      <c r="T18" s="38">
        <v>1</v>
      </c>
      <c r="U18" s="37">
        <v>1.04</v>
      </c>
      <c r="V18" s="60">
        <f t="shared" si="2"/>
        <v>4.0000000000000036E-2</v>
      </c>
      <c r="W18" s="60">
        <f t="shared" si="3"/>
        <v>-0.52511415525114158</v>
      </c>
    </row>
    <row r="19" spans="1:23" s="4" customFormat="1" ht="15.6" x14ac:dyDescent="0.3">
      <c r="A19" s="4" t="s">
        <v>155</v>
      </c>
      <c r="B19" s="34">
        <v>-0.75627</v>
      </c>
      <c r="C19" s="34">
        <v>-0.32101000000000002</v>
      </c>
      <c r="D19" s="34">
        <v>-2.87181</v>
      </c>
      <c r="E19" s="34">
        <v>-1.915</v>
      </c>
      <c r="F19" s="34">
        <v>-0.40576000000000001</v>
      </c>
      <c r="G19" s="34">
        <v>-1.51</v>
      </c>
      <c r="H19" s="34">
        <v>-2.73</v>
      </c>
      <c r="I19" s="34">
        <v>-3.8542399999999994</v>
      </c>
      <c r="J19" s="34">
        <v>-2.08</v>
      </c>
      <c r="K19" s="34">
        <v>-2.2000000000000002</v>
      </c>
      <c r="L19" s="34">
        <f>-5.37-K19-J19</f>
        <v>-1.0899999999999999</v>
      </c>
      <c r="M19" s="34">
        <v>-3.51</v>
      </c>
      <c r="N19" s="34">
        <v>-0.02</v>
      </c>
      <c r="O19" s="34">
        <v>-1.92</v>
      </c>
      <c r="P19" s="34">
        <v>-2.1</v>
      </c>
      <c r="Q19" s="34">
        <v>-2.2000000000000002</v>
      </c>
      <c r="R19" s="34">
        <v>-1.73</v>
      </c>
      <c r="S19" s="80">
        <v>-1.06</v>
      </c>
      <c r="T19" s="80">
        <v>-1.18</v>
      </c>
      <c r="U19" s="77">
        <v>-0.92</v>
      </c>
      <c r="V19" s="52">
        <f t="shared" si="2"/>
        <v>-0.22033898305084743</v>
      </c>
      <c r="W19" s="52">
        <f t="shared" si="3"/>
        <v>-0.58181818181818179</v>
      </c>
    </row>
    <row r="20" spans="1:23" s="55" customFormat="1" ht="15.6" x14ac:dyDescent="0.3">
      <c r="A20" s="55" t="s">
        <v>139</v>
      </c>
      <c r="V20" s="12"/>
      <c r="W20" s="12"/>
    </row>
    <row r="21" spans="1:23" x14ac:dyDescent="0.25">
      <c r="A21" s="59" t="s">
        <v>151</v>
      </c>
      <c r="B21" s="59">
        <v>0.77386999999999995</v>
      </c>
      <c r="C21" s="59">
        <v>1.6880299999999999</v>
      </c>
      <c r="D21" s="59">
        <v>7.9430000000000001E-2</v>
      </c>
      <c r="E21" s="59">
        <v>0.316</v>
      </c>
      <c r="F21" s="59">
        <v>0.38113999999999998</v>
      </c>
      <c r="G21" s="59">
        <v>1.76</v>
      </c>
      <c r="H21" s="59">
        <v>4.93</v>
      </c>
      <c r="I21" s="59">
        <v>-1.1711399999999994</v>
      </c>
      <c r="J21" s="59">
        <v>2.96</v>
      </c>
      <c r="K21" s="59">
        <v>4.93</v>
      </c>
      <c r="L21" s="59">
        <f>12.11-K21-J21</f>
        <v>4.22</v>
      </c>
      <c r="M21" s="59">
        <v>0.28000000000000003</v>
      </c>
      <c r="N21" s="59">
        <v>7.29</v>
      </c>
      <c r="O21" s="59">
        <v>8.76</v>
      </c>
      <c r="P21" s="59">
        <v>4.05</v>
      </c>
      <c r="Q21" s="59">
        <v>8.9600000000000009</v>
      </c>
      <c r="R21" s="59">
        <v>7.23</v>
      </c>
      <c r="S21" s="38">
        <v>8.2199999999999989</v>
      </c>
      <c r="T21" s="38">
        <v>16.850000000000001</v>
      </c>
      <c r="U21" s="37">
        <v>0.33</v>
      </c>
      <c r="V21" s="60">
        <f t="shared" ref="V21:V23" si="4">U21/T21-1</f>
        <v>-0.98041543026706235</v>
      </c>
      <c r="W21" s="60">
        <f t="shared" ref="W21:W23" si="5">U21/Q21-1</f>
        <v>-0.9631696428571429</v>
      </c>
    </row>
    <row r="22" spans="1:23" x14ac:dyDescent="0.25">
      <c r="A22" s="59" t="s">
        <v>156</v>
      </c>
      <c r="B22" s="59">
        <v>1.2719499999999999</v>
      </c>
      <c r="C22" s="59">
        <v>1.9796499999999999</v>
      </c>
      <c r="D22" s="59">
        <v>-4.8059999999999999E-2</v>
      </c>
      <c r="E22" s="59">
        <v>0</v>
      </c>
      <c r="F22" s="59">
        <v>3.7493599999999998</v>
      </c>
      <c r="G22" s="59">
        <v>1.48</v>
      </c>
      <c r="H22" s="59">
        <v>-1.01</v>
      </c>
      <c r="I22" s="59">
        <v>1.0640000000000649E-2</v>
      </c>
      <c r="J22" s="59">
        <v>1.83</v>
      </c>
      <c r="K22" s="59">
        <v>3.2699999999999996</v>
      </c>
      <c r="L22" s="59">
        <f>9.4-K22-J22</f>
        <v>4.3000000000000007</v>
      </c>
      <c r="M22" s="59">
        <v>2.2200000000000002</v>
      </c>
      <c r="N22" s="59">
        <v>6.48</v>
      </c>
      <c r="O22" s="59">
        <v>1.18</v>
      </c>
      <c r="P22" s="59">
        <v>2.77</v>
      </c>
      <c r="Q22" s="59">
        <v>11.57</v>
      </c>
      <c r="R22" s="59">
        <v>5.14</v>
      </c>
      <c r="S22" s="38">
        <v>11.46</v>
      </c>
      <c r="T22" s="38">
        <v>12.5</v>
      </c>
      <c r="U22" s="37">
        <v>3.18</v>
      </c>
      <c r="V22" s="60">
        <f t="shared" si="4"/>
        <v>-0.74560000000000004</v>
      </c>
      <c r="W22" s="60">
        <f t="shared" si="5"/>
        <v>-0.72515125324114083</v>
      </c>
    </row>
    <row r="23" spans="1:23" s="4" customFormat="1" ht="15.6" x14ac:dyDescent="0.3">
      <c r="A23" s="34" t="s">
        <v>157</v>
      </c>
      <c r="B23" s="34">
        <v>-0.49808000000000002</v>
      </c>
      <c r="C23" s="34">
        <v>-0.29161999999999999</v>
      </c>
      <c r="D23" s="34">
        <v>0.12748999999999999</v>
      </c>
      <c r="E23" s="34">
        <v>0.316</v>
      </c>
      <c r="F23" s="34">
        <v>-3.36822</v>
      </c>
      <c r="G23" s="34">
        <v>0.26</v>
      </c>
      <c r="H23" s="34">
        <v>3.92</v>
      </c>
      <c r="I23" s="34">
        <v>0.8582200000000002</v>
      </c>
      <c r="J23" s="34">
        <v>1.1299999999999999</v>
      </c>
      <c r="K23" s="34">
        <v>1.6600000000000001</v>
      </c>
      <c r="L23" s="34">
        <f>2.71-K23-J23</f>
        <v>-8.0000000000000071E-2</v>
      </c>
      <c r="M23" s="34">
        <v>-1.94</v>
      </c>
      <c r="N23" s="34">
        <f>N21-N22</f>
        <v>0.80999999999999961</v>
      </c>
      <c r="O23" s="34">
        <v>7.59</v>
      </c>
      <c r="P23" s="34">
        <v>1.27</v>
      </c>
      <c r="Q23" s="34">
        <v>-2.62</v>
      </c>
      <c r="R23" s="34">
        <v>2.09</v>
      </c>
      <c r="S23" s="80">
        <v>-3.240000000000002</v>
      </c>
      <c r="T23" s="80">
        <v>4.3499999999999996</v>
      </c>
      <c r="U23" s="77">
        <v>-2.85</v>
      </c>
      <c r="V23" s="52">
        <f t="shared" si="4"/>
        <v>-1.6551724137931036</v>
      </c>
      <c r="W23" s="52">
        <f t="shared" si="5"/>
        <v>8.7786259541984712E-2</v>
      </c>
    </row>
    <row r="24" spans="1:23" s="55" customFormat="1" ht="15.6" x14ac:dyDescent="0.3">
      <c r="A24" s="55" t="s">
        <v>140</v>
      </c>
      <c r="V24" s="12"/>
      <c r="W24" s="12"/>
    </row>
    <row r="25" spans="1:23" x14ac:dyDescent="0.25">
      <c r="A25" s="59" t="s">
        <v>158</v>
      </c>
      <c r="B25" s="59">
        <v>0.33717999999999998</v>
      </c>
      <c r="C25" s="59">
        <v>6.0659999999999999E-2</v>
      </c>
      <c r="D25" s="59">
        <v>-0.47071000000000002</v>
      </c>
      <c r="E25" s="59">
        <v>0.311</v>
      </c>
      <c r="F25" s="59">
        <v>-8.7870000000000004E-2</v>
      </c>
      <c r="G25" s="59">
        <v>1.48</v>
      </c>
      <c r="H25" s="59">
        <v>0.83</v>
      </c>
      <c r="I25" s="59">
        <v>-0.58213000000000015</v>
      </c>
      <c r="J25" s="59">
        <v>-1.1399999999999999</v>
      </c>
      <c r="K25" s="59">
        <v>-0.78</v>
      </c>
      <c r="L25" s="59">
        <f>-1.16-K25-J25</f>
        <v>0.76</v>
      </c>
      <c r="M25" s="59">
        <v>3.79</v>
      </c>
      <c r="N25" s="59">
        <v>1.83</v>
      </c>
      <c r="O25" s="59">
        <v>-3.88</v>
      </c>
      <c r="P25" s="59">
        <v>0.1</v>
      </c>
      <c r="Q25" s="59">
        <v>0.43</v>
      </c>
      <c r="R25" s="59">
        <v>1.1100000000000001</v>
      </c>
      <c r="S25" s="38">
        <v>-1.1599999999999999</v>
      </c>
      <c r="T25" s="38">
        <f>T13+T19+T23</f>
        <v>0.1899999999999995</v>
      </c>
      <c r="U25" s="37">
        <f>U13+U19+U23</f>
        <v>2.3400000000000003</v>
      </c>
      <c r="V25" s="60">
        <f t="shared" ref="V25:V27" si="6">U25/T25-1</f>
        <v>11.315789473684244</v>
      </c>
      <c r="W25" s="60">
        <f t="shared" ref="W25:W27" si="7">U25/Q25-1</f>
        <v>4.4418604651162799</v>
      </c>
    </row>
    <row r="26" spans="1:23" x14ac:dyDescent="0.25">
      <c r="A26" s="59" t="s">
        <v>160</v>
      </c>
      <c r="B26" s="59">
        <v>0.86524000000000001</v>
      </c>
      <c r="C26" s="59">
        <v>1.20218</v>
      </c>
      <c r="D26" s="59">
        <v>2.4000000000000001E-4</v>
      </c>
      <c r="E26" s="59">
        <v>0.79200000000000004</v>
      </c>
      <c r="F26" s="59">
        <v>0.98677000000000004</v>
      </c>
      <c r="G26" s="59">
        <v>0.9</v>
      </c>
      <c r="H26" s="59">
        <v>2.38</v>
      </c>
      <c r="I26" s="59">
        <v>3.214</v>
      </c>
      <c r="J26" s="59">
        <v>2.62</v>
      </c>
      <c r="K26" s="59">
        <v>1.48</v>
      </c>
      <c r="L26" s="59">
        <v>0.7</v>
      </c>
      <c r="M26" s="59">
        <v>1.46</v>
      </c>
      <c r="N26" s="59">
        <v>5.26</v>
      </c>
      <c r="O26" s="59">
        <v>7.09</v>
      </c>
      <c r="P26" s="59">
        <v>3.21</v>
      </c>
      <c r="Q26" s="59">
        <v>3.31</v>
      </c>
      <c r="R26" s="59">
        <v>3.74</v>
      </c>
      <c r="S26" s="38">
        <v>4.8499999999999996</v>
      </c>
      <c r="T26" s="38">
        <v>3.69</v>
      </c>
      <c r="U26" s="37">
        <v>3.88</v>
      </c>
      <c r="V26" s="60">
        <f t="shared" si="6"/>
        <v>5.1490514905148999E-2</v>
      </c>
      <c r="W26" s="60">
        <f t="shared" si="7"/>
        <v>0.17220543806646527</v>
      </c>
    </row>
    <row r="27" spans="1:23" x14ac:dyDescent="0.25">
      <c r="A27" s="59" t="s">
        <v>159</v>
      </c>
      <c r="B27" s="59">
        <v>1.20242</v>
      </c>
      <c r="C27" s="59">
        <v>1.26284</v>
      </c>
      <c r="D27" s="59">
        <v>-0.47047</v>
      </c>
      <c r="E27" s="59">
        <v>0.98699999999999999</v>
      </c>
      <c r="F27" s="59">
        <v>0.89890000000000003</v>
      </c>
      <c r="G27" s="59">
        <v>2.38</v>
      </c>
      <c r="H27" s="59">
        <v>3.21</v>
      </c>
      <c r="I27" s="59">
        <v>2.62</v>
      </c>
      <c r="J27" s="59">
        <v>1.48</v>
      </c>
      <c r="K27" s="59">
        <v>0.7</v>
      </c>
      <c r="L27" s="59">
        <v>1.46</v>
      </c>
      <c r="M27" s="59">
        <v>5.25</v>
      </c>
      <c r="N27" s="59">
        <v>7.0860000000000003</v>
      </c>
      <c r="O27" s="59">
        <v>3.21</v>
      </c>
      <c r="P27" s="59">
        <v>3.31</v>
      </c>
      <c r="Q27" s="59">
        <v>3.74</v>
      </c>
      <c r="R27" s="59">
        <v>4.8499999999999996</v>
      </c>
      <c r="S27" s="38">
        <v>3.69</v>
      </c>
      <c r="T27" s="38">
        <v>3.88</v>
      </c>
      <c r="U27" s="37">
        <v>6.22</v>
      </c>
      <c r="V27" s="60">
        <f t="shared" si="6"/>
        <v>0.60309278350515472</v>
      </c>
      <c r="W27" s="60">
        <f t="shared" si="7"/>
        <v>0.66310160427807463</v>
      </c>
    </row>
    <row r="28" spans="1:23" x14ac:dyDescent="0.25">
      <c r="V28" s="10"/>
      <c r="W28" s="10"/>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I31"/>
  <sheetViews>
    <sheetView zoomScaleNormal="100" workbookViewId="0">
      <pane xSplit="1" ySplit="1" topLeftCell="B2" activePane="bottomRight" state="frozenSplit"/>
      <selection pane="topRight" activeCell="B1" sqref="B1"/>
      <selection pane="bottomLeft" activeCell="A2" sqref="A2"/>
      <selection pane="bottomRight" activeCell="C17" sqref="C17"/>
    </sheetView>
  </sheetViews>
  <sheetFormatPr defaultColWidth="10.54296875" defaultRowHeight="15" x14ac:dyDescent="0.25"/>
  <cols>
    <col min="1" max="1" width="37.453125" style="10" customWidth="1"/>
    <col min="2" max="7" width="10.54296875" style="10" customWidth="1"/>
    <col min="8" max="8" width="10.54296875" style="37"/>
    <col min="9" max="9" width="10.54296875" style="3"/>
    <col min="10" max="16384" width="10.54296875" style="10"/>
  </cols>
  <sheetData>
    <row r="1" spans="1:9" s="4" customFormat="1" ht="15.6" x14ac:dyDescent="0.3">
      <c r="A1" s="6" t="s">
        <v>136</v>
      </c>
      <c r="B1" s="33">
        <v>2014</v>
      </c>
      <c r="C1" s="33">
        <v>2015</v>
      </c>
      <c r="D1" s="33">
        <v>2016</v>
      </c>
      <c r="E1" s="33">
        <v>2017</v>
      </c>
      <c r="F1" s="33">
        <v>2018</v>
      </c>
      <c r="G1" s="33">
        <v>2019</v>
      </c>
      <c r="H1" s="53" t="s">
        <v>63</v>
      </c>
      <c r="I1" s="5" t="s">
        <v>80</v>
      </c>
    </row>
    <row r="2" spans="1:9" s="11" customFormat="1" ht="15.6" x14ac:dyDescent="0.3">
      <c r="A2" s="11" t="s">
        <v>137</v>
      </c>
      <c r="F2" s="55"/>
      <c r="G2" s="55"/>
      <c r="H2" s="44"/>
      <c r="I2" s="12"/>
    </row>
    <row r="3" spans="1:9" x14ac:dyDescent="0.25">
      <c r="A3" s="10" t="s">
        <v>101</v>
      </c>
      <c r="B3" s="32">
        <v>3.282</v>
      </c>
      <c r="C3" s="32">
        <v>4.1429999999999998</v>
      </c>
      <c r="D3" s="32">
        <v>3.9609999999999999</v>
      </c>
      <c r="E3" s="32">
        <v>8.67</v>
      </c>
      <c r="F3" s="32">
        <v>5.04</v>
      </c>
      <c r="G3" s="32">
        <v>-4.9400000000000004</v>
      </c>
      <c r="H3" s="37">
        <v>8.9499999999999993</v>
      </c>
      <c r="I3" s="3">
        <f>H3/G3-1</f>
        <v>-2.8117408906882586</v>
      </c>
    </row>
    <row r="4" spans="1:9" x14ac:dyDescent="0.25">
      <c r="A4" s="10" t="s">
        <v>141</v>
      </c>
      <c r="B4" s="32">
        <v>-1.194</v>
      </c>
      <c r="C4" s="32">
        <v>1.2170000000000001</v>
      </c>
      <c r="D4" s="32">
        <v>2.371</v>
      </c>
      <c r="E4" s="32">
        <v>-0.2</v>
      </c>
      <c r="F4" s="32">
        <v>5.7</v>
      </c>
      <c r="G4" s="32">
        <v>2.6</v>
      </c>
      <c r="H4" s="37">
        <v>-1.91</v>
      </c>
      <c r="I4" s="3">
        <f t="shared" ref="I4:I14" si="0">H4/G4-1</f>
        <v>-1.7346153846153847</v>
      </c>
    </row>
    <row r="5" spans="1:9" x14ac:dyDescent="0.25">
      <c r="A5" s="10" t="s">
        <v>142</v>
      </c>
      <c r="B5" s="32">
        <v>3.3780000000000001</v>
      </c>
      <c r="C5" s="32">
        <v>3.6070000000000002</v>
      </c>
      <c r="D5" s="32">
        <v>4.4530000000000003</v>
      </c>
      <c r="E5" s="32">
        <v>5.03</v>
      </c>
      <c r="F5" s="32">
        <v>6.84</v>
      </c>
      <c r="G5" s="32">
        <v>8.2899999999999991</v>
      </c>
      <c r="H5" s="37">
        <v>9.5299999999999994</v>
      </c>
      <c r="I5" s="3">
        <f t="shared" si="0"/>
        <v>0.14957780458383607</v>
      </c>
    </row>
    <row r="6" spans="1:9" x14ac:dyDescent="0.25">
      <c r="A6" s="10" t="s">
        <v>143</v>
      </c>
      <c r="B6" s="32">
        <v>-4.3999999999999997E-2</v>
      </c>
      <c r="C6" s="32">
        <v>8.9999999999999993E-3</v>
      </c>
      <c r="D6" s="32">
        <v>1.202</v>
      </c>
      <c r="E6" s="32">
        <v>-1.32</v>
      </c>
      <c r="F6" s="32">
        <v>-0.02</v>
      </c>
      <c r="G6" s="32">
        <v>-2.89</v>
      </c>
      <c r="H6" s="37">
        <v>-1.51</v>
      </c>
      <c r="I6" s="3">
        <f t="shared" si="0"/>
        <v>-0.47750865051903113</v>
      </c>
    </row>
    <row r="7" spans="1:9" x14ac:dyDescent="0.25">
      <c r="A7" s="10" t="s">
        <v>144</v>
      </c>
      <c r="B7" s="32">
        <v>0.66500000000000004</v>
      </c>
      <c r="C7" s="32">
        <v>0.61</v>
      </c>
      <c r="D7" s="32">
        <v>0.61899999999999999</v>
      </c>
      <c r="E7" s="32">
        <v>0.73</v>
      </c>
      <c r="F7" s="32">
        <v>1.1499999999999999</v>
      </c>
      <c r="G7" s="32">
        <v>1.66</v>
      </c>
      <c r="H7" s="37">
        <v>1.32</v>
      </c>
      <c r="I7" s="3">
        <f t="shared" si="0"/>
        <v>-0.20481927710843362</v>
      </c>
    </row>
    <row r="8" spans="1:9" x14ac:dyDescent="0.25">
      <c r="A8" s="10" t="s">
        <v>161</v>
      </c>
      <c r="B8" s="32">
        <v>0.10100000000000001</v>
      </c>
      <c r="C8" s="32">
        <v>-0.111</v>
      </c>
      <c r="D8" s="32">
        <v>-4.5999999999999999E-2</v>
      </c>
      <c r="E8" s="32">
        <v>-0.04</v>
      </c>
      <c r="F8" s="32">
        <v>-0.2</v>
      </c>
      <c r="G8" s="32">
        <v>-0.25</v>
      </c>
      <c r="H8" s="37">
        <v>-0.38</v>
      </c>
      <c r="I8" s="3">
        <f t="shared" si="0"/>
        <v>0.52</v>
      </c>
    </row>
    <row r="9" spans="1:9" x14ac:dyDescent="0.25">
      <c r="A9" s="10" t="s">
        <v>145</v>
      </c>
      <c r="B9" s="32">
        <v>-0.71599999999999997</v>
      </c>
      <c r="C9" s="32">
        <v>-0.26200000000000001</v>
      </c>
      <c r="D9" s="32">
        <v>0.36799999999999999</v>
      </c>
      <c r="E9" s="32">
        <v>3.36</v>
      </c>
      <c r="F9" s="32">
        <v>0.35</v>
      </c>
      <c r="G9" s="32">
        <v>-0.44</v>
      </c>
      <c r="H9" s="37">
        <v>4.32</v>
      </c>
      <c r="I9" s="3">
        <f t="shared" si="0"/>
        <v>-10.818181818181818</v>
      </c>
    </row>
    <row r="10" spans="1:9" x14ac:dyDescent="0.25">
      <c r="A10" s="10" t="s">
        <v>146</v>
      </c>
      <c r="B10" s="32">
        <v>-1.0269999999999999</v>
      </c>
      <c r="C10" s="32">
        <v>3.8330000000000002</v>
      </c>
      <c r="D10" s="32">
        <v>-5.3</v>
      </c>
      <c r="E10" s="32">
        <v>-2.76</v>
      </c>
      <c r="F10" s="32">
        <v>-3.54</v>
      </c>
      <c r="G10" s="32">
        <v>-6.03</v>
      </c>
      <c r="H10" s="37">
        <v>-5.7</v>
      </c>
      <c r="I10" s="3">
        <f t="shared" si="0"/>
        <v>-5.4726368159203953E-2</v>
      </c>
    </row>
    <row r="11" spans="1:9" s="1" customFormat="1" x14ac:dyDescent="0.25">
      <c r="A11" s="10" t="s">
        <v>147</v>
      </c>
      <c r="B11" s="30">
        <v>-2.661</v>
      </c>
      <c r="C11" s="30">
        <v>-1.4490000000000001</v>
      </c>
      <c r="D11" s="30">
        <v>-2.0350000000000001</v>
      </c>
      <c r="E11" s="30">
        <v>-4.2699999999999996</v>
      </c>
      <c r="F11" s="30">
        <v>-6.95</v>
      </c>
      <c r="G11" s="30">
        <v>3.95</v>
      </c>
      <c r="H11" s="37">
        <v>2.19</v>
      </c>
      <c r="I11" s="3">
        <f t="shared" si="0"/>
        <v>-0.4455696202531646</v>
      </c>
    </row>
    <row r="12" spans="1:9" s="1" customFormat="1" x14ac:dyDescent="0.25">
      <c r="A12" s="10" t="s">
        <v>148</v>
      </c>
      <c r="B12" s="30">
        <v>-0.78900000000000003</v>
      </c>
      <c r="C12" s="30">
        <v>-3.234</v>
      </c>
      <c r="D12" s="30">
        <v>4.734</v>
      </c>
      <c r="E12" s="30">
        <v>1.5</v>
      </c>
      <c r="F12" s="30">
        <v>10</v>
      </c>
      <c r="G12" s="30">
        <v>-0.62</v>
      </c>
      <c r="H12" s="37">
        <v>-10.82</v>
      </c>
      <c r="I12" s="3">
        <f t="shared" si="0"/>
        <v>16.451612903225808</v>
      </c>
    </row>
    <row r="13" spans="1:9" x14ac:dyDescent="0.25">
      <c r="A13" s="10" t="s">
        <v>149</v>
      </c>
      <c r="B13" s="32">
        <v>0</v>
      </c>
      <c r="C13" s="32">
        <v>-1.724</v>
      </c>
      <c r="D13" s="32">
        <v>-1.554</v>
      </c>
      <c r="E13" s="32">
        <v>-2.35</v>
      </c>
      <c r="F13" s="32">
        <v>-1.55</v>
      </c>
      <c r="G13" s="32">
        <v>-1.19</v>
      </c>
      <c r="H13" s="37">
        <v>-0.62</v>
      </c>
      <c r="I13" s="3">
        <f t="shared" si="0"/>
        <v>-0.47899159663865543</v>
      </c>
    </row>
    <row r="14" spans="1:9" s="4" customFormat="1" ht="15.6" x14ac:dyDescent="0.3">
      <c r="A14" s="4" t="s">
        <v>150</v>
      </c>
      <c r="B14" s="29">
        <v>2.0880000000000001</v>
      </c>
      <c r="C14" s="29">
        <v>5.36</v>
      </c>
      <c r="D14" s="29">
        <v>6.3310000000000004</v>
      </c>
      <c r="E14" s="29">
        <v>8.4700000000000006</v>
      </c>
      <c r="F14" s="29">
        <v>10.74</v>
      </c>
      <c r="G14" s="29">
        <v>-2.34</v>
      </c>
      <c r="H14" s="45">
        <v>7.04</v>
      </c>
      <c r="I14" s="5">
        <f t="shared" si="0"/>
        <v>-4.0085470085470085</v>
      </c>
    </row>
    <row r="15" spans="1:9" s="11" customFormat="1" ht="15.6" x14ac:dyDescent="0.3">
      <c r="A15" s="55" t="s">
        <v>138</v>
      </c>
      <c r="F15" s="55"/>
      <c r="G15" s="55"/>
      <c r="H15" s="44"/>
      <c r="I15" s="12"/>
    </row>
    <row r="16" spans="1:9" s="1" customFormat="1" x14ac:dyDescent="0.25">
      <c r="A16" s="10" t="s">
        <v>162</v>
      </c>
      <c r="B16" s="30">
        <v>1.056</v>
      </c>
      <c r="C16" s="30">
        <v>9.8000000000000004E-2</v>
      </c>
      <c r="D16" s="30">
        <v>1.7210000000000001</v>
      </c>
      <c r="E16" s="30">
        <v>2.2000000000000002</v>
      </c>
      <c r="F16" s="30">
        <v>6.83</v>
      </c>
      <c r="G16" s="30">
        <v>2.13</v>
      </c>
      <c r="H16" s="37">
        <v>0.73</v>
      </c>
      <c r="I16" s="3">
        <f t="shared" ref="I16:I20" si="1">H16/G16-1</f>
        <v>-0.65727699530516426</v>
      </c>
    </row>
    <row r="17" spans="1:9" s="1" customFormat="1" x14ac:dyDescent="0.25">
      <c r="A17" s="10" t="s">
        <v>152</v>
      </c>
      <c r="B17" s="30">
        <v>1.0529999999999999</v>
      </c>
      <c r="C17" s="30">
        <v>9.8000000000000004E-2</v>
      </c>
      <c r="D17" s="30">
        <v>1.7210000000000001</v>
      </c>
      <c r="E17" s="30">
        <v>1.33</v>
      </c>
      <c r="F17" s="30">
        <v>6.21</v>
      </c>
      <c r="G17" s="30">
        <v>2.13</v>
      </c>
      <c r="H17" s="37">
        <v>0.73</v>
      </c>
      <c r="I17" s="3">
        <f t="shared" si="1"/>
        <v>-0.65727699530516426</v>
      </c>
    </row>
    <row r="18" spans="1:9" x14ac:dyDescent="0.25">
      <c r="A18" s="10" t="s">
        <v>153</v>
      </c>
      <c r="B18" s="32">
        <v>3.0760000000000001</v>
      </c>
      <c r="C18" s="32">
        <v>10.537000000000001</v>
      </c>
      <c r="D18" s="32">
        <v>7.585</v>
      </c>
      <c r="E18" s="32">
        <v>10.7</v>
      </c>
      <c r="F18" s="32">
        <v>15.71</v>
      </c>
      <c r="G18" s="32">
        <v>8.8699999999999992</v>
      </c>
      <c r="H18" s="37">
        <v>5.62</v>
      </c>
      <c r="I18" s="3">
        <f t="shared" si="1"/>
        <v>-0.36640360766629076</v>
      </c>
    </row>
    <row r="19" spans="1:9" x14ac:dyDescent="0.25">
      <c r="A19" s="10" t="s">
        <v>154</v>
      </c>
      <c r="B19" s="32">
        <v>3.0760000000000001</v>
      </c>
      <c r="C19" s="32">
        <v>10.537000000000001</v>
      </c>
      <c r="D19" s="32">
        <v>7.585</v>
      </c>
      <c r="E19" s="32">
        <v>10.7</v>
      </c>
      <c r="F19" s="32">
        <v>15.71</v>
      </c>
      <c r="G19" s="32">
        <v>8.8699999999999992</v>
      </c>
      <c r="H19" s="37">
        <v>4.8899999999999997</v>
      </c>
      <c r="I19" s="3">
        <f t="shared" si="1"/>
        <v>-0.44870349492671924</v>
      </c>
    </row>
    <row r="20" spans="1:9" s="4" customFormat="1" ht="15.6" x14ac:dyDescent="0.3">
      <c r="A20" s="4" t="s">
        <v>155</v>
      </c>
      <c r="B20" s="29">
        <v>-2.02</v>
      </c>
      <c r="C20" s="29">
        <v>-10.439</v>
      </c>
      <c r="D20" s="29">
        <v>-5.8639999999999999</v>
      </c>
      <c r="E20" s="29">
        <v>-8.5</v>
      </c>
      <c r="F20" s="29">
        <v>-8.8800000000000008</v>
      </c>
      <c r="G20" s="29">
        <v>-6.24</v>
      </c>
      <c r="H20" s="45">
        <v>-4.8899999999999997</v>
      </c>
      <c r="I20" s="5">
        <f t="shared" si="1"/>
        <v>-0.21634615384615397</v>
      </c>
    </row>
    <row r="21" spans="1:9" s="11" customFormat="1" ht="15.6" x14ac:dyDescent="0.3">
      <c r="A21" s="55" t="s">
        <v>139</v>
      </c>
      <c r="F21" s="55"/>
      <c r="G21" s="55"/>
      <c r="H21" s="44"/>
      <c r="I21" s="12"/>
    </row>
    <row r="22" spans="1:9" x14ac:dyDescent="0.25">
      <c r="A22" s="10" t="s">
        <v>163</v>
      </c>
      <c r="B22" s="32">
        <v>1.472</v>
      </c>
      <c r="C22" s="32">
        <v>7.9329999999999998</v>
      </c>
      <c r="D22" s="32">
        <v>3.5779999999999998</v>
      </c>
      <c r="E22" s="32">
        <v>5.9</v>
      </c>
      <c r="F22" s="32">
        <v>12.389999999999999</v>
      </c>
      <c r="G22" s="32">
        <v>29.06</v>
      </c>
      <c r="H22" s="37">
        <v>18.82</v>
      </c>
      <c r="I22" s="3">
        <f t="shared" ref="I22:I27" si="2">H22/G22-1</f>
        <v>-0.35237439779766</v>
      </c>
    </row>
    <row r="23" spans="1:9" x14ac:dyDescent="0.25">
      <c r="A23" s="10" t="s">
        <v>156</v>
      </c>
      <c r="B23" s="32">
        <v>3.6419999999999999</v>
      </c>
      <c r="C23" s="32">
        <v>3.6709999999999998</v>
      </c>
      <c r="D23" s="32">
        <v>3.9239999999999999</v>
      </c>
      <c r="E23" s="32">
        <v>4.2300000000000004</v>
      </c>
      <c r="F23" s="32">
        <v>11.62</v>
      </c>
      <c r="G23" s="32">
        <v>22</v>
      </c>
      <c r="H23" s="37">
        <v>18.5</v>
      </c>
      <c r="I23" s="3">
        <f t="shared" si="2"/>
        <v>-0.15909090909090906</v>
      </c>
    </row>
    <row r="24" spans="1:9" x14ac:dyDescent="0.25">
      <c r="A24" s="10" t="s">
        <v>164</v>
      </c>
      <c r="B24" s="32">
        <v>2.2890000000000001</v>
      </c>
      <c r="C24" s="32">
        <v>1.669</v>
      </c>
      <c r="D24" s="32">
        <v>1.87</v>
      </c>
      <c r="E24" s="32">
        <v>0.32</v>
      </c>
      <c r="F24" s="32">
        <v>6.11</v>
      </c>
      <c r="G24" s="32">
        <v>14.68</v>
      </c>
      <c r="H24" s="37">
        <v>13.93</v>
      </c>
      <c r="I24" s="3">
        <f t="shared" si="2"/>
        <v>-5.108991825613074E-2</v>
      </c>
    </row>
    <row r="25" spans="1:9" x14ac:dyDescent="0.25">
      <c r="A25" s="10" t="s">
        <v>165</v>
      </c>
      <c r="B25" s="32">
        <v>0.68</v>
      </c>
      <c r="C25" s="32">
        <v>1.37</v>
      </c>
      <c r="D25" s="32">
        <v>1.397</v>
      </c>
      <c r="E25" s="32">
        <v>2.17</v>
      </c>
      <c r="F25" s="32">
        <v>3.13</v>
      </c>
      <c r="G25" s="32">
        <v>4.62</v>
      </c>
      <c r="H25" s="37">
        <v>3.1</v>
      </c>
      <c r="I25" s="3">
        <f t="shared" si="2"/>
        <v>-0.32900432900432897</v>
      </c>
    </row>
    <row r="26" spans="1:9" x14ac:dyDescent="0.25">
      <c r="A26" s="10" t="s">
        <v>166</v>
      </c>
      <c r="B26" s="32">
        <v>0.67400000000000004</v>
      </c>
      <c r="C26" s="32">
        <v>0.63100000000000001</v>
      </c>
      <c r="D26" s="32">
        <v>0.65600000000000003</v>
      </c>
      <c r="E26" s="32">
        <v>0.73</v>
      </c>
      <c r="F26" s="32">
        <v>1.1599999999999999</v>
      </c>
      <c r="G26" s="32">
        <v>1.7</v>
      </c>
      <c r="H26" s="37">
        <v>1.46</v>
      </c>
      <c r="I26" s="3">
        <f t="shared" si="2"/>
        <v>-0.14117647058823535</v>
      </c>
    </row>
    <row r="27" spans="1:9" s="4" customFormat="1" ht="15.6" x14ac:dyDescent="0.3">
      <c r="A27" s="4" t="s">
        <v>167</v>
      </c>
      <c r="B27" s="29">
        <v>-2.17</v>
      </c>
      <c r="C27" s="29">
        <v>4.2629999999999999</v>
      </c>
      <c r="D27" s="29">
        <v>-0.34599999999999997</v>
      </c>
      <c r="E27" s="29">
        <v>1.67</v>
      </c>
      <c r="F27" s="29">
        <v>0.77</v>
      </c>
      <c r="G27" s="29">
        <v>7.05</v>
      </c>
      <c r="H27" s="45">
        <v>0.33</v>
      </c>
      <c r="I27" s="5">
        <f t="shared" si="2"/>
        <v>-0.95319148936170217</v>
      </c>
    </row>
    <row r="28" spans="1:9" s="11" customFormat="1" ht="15.6" x14ac:dyDescent="0.3">
      <c r="A28" s="55" t="s">
        <v>140</v>
      </c>
      <c r="F28" s="55"/>
      <c r="G28" s="55"/>
      <c r="H28" s="44"/>
      <c r="I28" s="12"/>
    </row>
    <row r="29" spans="1:9" x14ac:dyDescent="0.25">
      <c r="A29" s="10" t="s">
        <v>158</v>
      </c>
      <c r="B29" s="32">
        <v>-2.1030000000000002</v>
      </c>
      <c r="C29" s="32">
        <v>-0.81599999999999995</v>
      </c>
      <c r="D29" s="32">
        <v>0.122</v>
      </c>
      <c r="E29" s="32">
        <v>1.64</v>
      </c>
      <c r="F29" s="32">
        <v>2.64</v>
      </c>
      <c r="G29" s="32">
        <v>-1.52</v>
      </c>
      <c r="H29" s="37">
        <v>2.48</v>
      </c>
      <c r="I29" s="3">
        <f t="shared" ref="I29:I31" si="3">H29/G29-1</f>
        <v>-2.6315789473684212</v>
      </c>
    </row>
    <row r="30" spans="1:9" x14ac:dyDescent="0.25">
      <c r="A30" s="10" t="s">
        <v>168</v>
      </c>
      <c r="B30" s="32">
        <v>3.7850000000000001</v>
      </c>
      <c r="C30" s="32">
        <v>1.6819999999999999</v>
      </c>
      <c r="D30" s="32">
        <v>0.86499999999999999</v>
      </c>
      <c r="E30" s="32">
        <v>0.98</v>
      </c>
      <c r="F30" s="32">
        <v>2.62</v>
      </c>
      <c r="G30" s="32">
        <v>5.26</v>
      </c>
      <c r="H30" s="37">
        <v>3.74</v>
      </c>
      <c r="I30" s="3">
        <f t="shared" si="3"/>
        <v>-0.28897338403041817</v>
      </c>
    </row>
    <row r="31" spans="1:9" x14ac:dyDescent="0.25">
      <c r="A31" s="10" t="s">
        <v>169</v>
      </c>
      <c r="B31" s="32">
        <v>1.6819999999999999</v>
      </c>
      <c r="C31" s="32">
        <v>0.86499999999999999</v>
      </c>
      <c r="D31" s="32">
        <v>0.98699999999999999</v>
      </c>
      <c r="E31" s="32">
        <v>2.62</v>
      </c>
      <c r="F31" s="32">
        <v>5.26</v>
      </c>
      <c r="G31" s="32">
        <v>3.74</v>
      </c>
      <c r="H31" s="37">
        <v>6.22</v>
      </c>
      <c r="I31" s="3">
        <f t="shared" si="3"/>
        <v>0.66310160427807463</v>
      </c>
    </row>
  </sheetData>
  <pageMargins left="0.25" right="0.25" top="0.75" bottom="0.75" header="0.3" footer="0.3"/>
  <pageSetup paperSize="9" scale="68"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G7"/>
  <sheetViews>
    <sheetView zoomScaleNormal="100" workbookViewId="0">
      <pane xSplit="1" ySplit="1" topLeftCell="M2" activePane="bottomRight" state="frozenSplit"/>
      <selection pane="topRight" activeCell="B1" sqref="B1"/>
      <selection pane="bottomLeft" activeCell="A2" sqref="A2"/>
      <selection pane="bottomRight" activeCell="A10" sqref="A10"/>
    </sheetView>
  </sheetViews>
  <sheetFormatPr defaultColWidth="10.54296875" defaultRowHeight="15" x14ac:dyDescent="0.25"/>
  <cols>
    <col min="1" max="1" width="36.26953125" style="1" customWidth="1"/>
    <col min="2" max="15" width="10.54296875" style="1" customWidth="1"/>
    <col min="16" max="19" width="10.54296875" style="1"/>
    <col min="20" max="20" width="10.54296875" style="30"/>
    <col min="21" max="21" width="10.54296875" style="8"/>
    <col min="22" max="22" width="11" style="3" customWidth="1"/>
    <col min="23" max="23" width="10.54296875" style="3"/>
    <col min="24" max="24" width="10.54296875" style="1"/>
    <col min="25" max="25" width="0" style="1" hidden="1" customWidth="1"/>
    <col min="26" max="26" width="10.54296875" style="8" hidden="1" customWidth="1"/>
    <col min="27" max="29" width="0" style="1" hidden="1" customWidth="1"/>
    <col min="30" max="30" width="10.54296875" style="1" hidden="1" customWidth="1"/>
    <col min="31" max="31" width="10.54296875" style="8" hidden="1" customWidth="1"/>
    <col min="32" max="33" width="10.54296875" style="1" hidden="1" customWidth="1"/>
    <col min="34" max="16384" width="10.54296875" style="1"/>
  </cols>
  <sheetData>
    <row r="1" spans="1:33" s="4" customFormat="1" ht="15.6" x14ac:dyDescent="0.3">
      <c r="A1" s="6" t="s">
        <v>136</v>
      </c>
      <c r="B1" s="4" t="s">
        <v>12</v>
      </c>
      <c r="C1" s="4" t="s">
        <v>13</v>
      </c>
      <c r="D1" s="4" t="s">
        <v>14</v>
      </c>
      <c r="E1" s="4" t="s">
        <v>15</v>
      </c>
      <c r="F1" s="4" t="s">
        <v>16</v>
      </c>
      <c r="G1" s="4" t="s">
        <v>30</v>
      </c>
      <c r="H1" s="4" t="s">
        <v>32</v>
      </c>
      <c r="I1" s="4" t="s">
        <v>36</v>
      </c>
      <c r="J1" s="4" t="s">
        <v>37</v>
      </c>
      <c r="K1" s="4" t="s">
        <v>39</v>
      </c>
      <c r="L1" s="4" t="s">
        <v>42</v>
      </c>
      <c r="M1" s="4" t="s">
        <v>44</v>
      </c>
      <c r="N1" s="4" t="s">
        <v>48</v>
      </c>
      <c r="O1" s="4" t="s">
        <v>50</v>
      </c>
      <c r="P1" s="4" t="s">
        <v>52</v>
      </c>
      <c r="Q1" s="4" t="s">
        <v>54</v>
      </c>
      <c r="R1" s="4" t="s">
        <v>56</v>
      </c>
      <c r="S1" s="4" t="s">
        <v>58</v>
      </c>
      <c r="T1" s="29" t="s">
        <v>60</v>
      </c>
      <c r="U1" s="7" t="s">
        <v>62</v>
      </c>
      <c r="V1" s="5" t="s">
        <v>79</v>
      </c>
      <c r="W1" s="5" t="s">
        <v>80</v>
      </c>
      <c r="Y1" s="4" t="s">
        <v>31</v>
      </c>
      <c r="Z1" s="7" t="s">
        <v>40</v>
      </c>
      <c r="AB1" s="4" t="s">
        <v>7</v>
      </c>
      <c r="AD1" s="29" t="s">
        <v>47</v>
      </c>
      <c r="AE1" s="7" t="s">
        <v>45</v>
      </c>
      <c r="AG1" s="4" t="s">
        <v>7</v>
      </c>
    </row>
    <row r="2" spans="1:33" x14ac:dyDescent="0.25">
      <c r="A2" s="10" t="s">
        <v>170</v>
      </c>
      <c r="B2" s="1">
        <v>0.11254</v>
      </c>
      <c r="C2" s="1">
        <v>1.9519999999999999E-2</v>
      </c>
      <c r="D2" s="1">
        <v>3.9899999999999998E-2</v>
      </c>
      <c r="E2" s="1">
        <v>0.65347999999999995</v>
      </c>
      <c r="F2" s="1">
        <v>0.17580000000000001</v>
      </c>
      <c r="G2" s="1">
        <v>0.4</v>
      </c>
      <c r="H2" s="1">
        <f>(1011.3-481.5)/1000</f>
        <v>0.52979999999999994</v>
      </c>
      <c r="I2" s="1">
        <f>1151.9/1000</f>
        <v>1.1519000000000001</v>
      </c>
      <c r="J2" s="1">
        <v>0.156</v>
      </c>
      <c r="K2" s="1">
        <v>0.22</v>
      </c>
      <c r="L2" s="1">
        <v>0.41</v>
      </c>
      <c r="M2" s="1">
        <v>0.08</v>
      </c>
      <c r="N2" s="1">
        <v>0</v>
      </c>
      <c r="O2" s="1">
        <v>0</v>
      </c>
      <c r="P2" s="1">
        <v>0.2</v>
      </c>
      <c r="Q2" s="1">
        <v>7.0000000000000007E-2</v>
      </c>
      <c r="R2" s="1">
        <v>7.0000000000000007E-2</v>
      </c>
      <c r="S2" s="1">
        <v>0</v>
      </c>
      <c r="T2" s="85">
        <f>0.07+0.09+0.02</f>
        <v>0.18</v>
      </c>
      <c r="U2" s="74">
        <v>7.0000000000000007E-2</v>
      </c>
      <c r="V2" s="3">
        <f>U2/T2-1</f>
        <v>-0.61111111111111105</v>
      </c>
      <c r="W2" s="14">
        <f>U2/Q2-1</f>
        <v>0</v>
      </c>
      <c r="X2" s="14"/>
      <c r="Y2" s="1">
        <f t="shared" ref="Y2:Y7" si="0">SUM(F2:G2)</f>
        <v>0.57580000000000009</v>
      </c>
      <c r="Z2" s="25">
        <f t="shared" ref="Z2:Z7" si="1">SUM(J2:L2)</f>
        <v>0.78600000000000003</v>
      </c>
      <c r="AA2" s="3"/>
      <c r="AB2" s="3">
        <f t="shared" ref="AB2:AB7" si="2">Z2/Y2-1</f>
        <v>0.36505731156651589</v>
      </c>
      <c r="AD2" s="30">
        <f t="shared" ref="AD2:AD7" si="3">SUM(F2:I2)</f>
        <v>2.2575000000000003</v>
      </c>
      <c r="AE2" s="8">
        <f t="shared" ref="AE2:AE7" si="4">SUM(J2:M2)</f>
        <v>0.86599999999999999</v>
      </c>
      <c r="AG2" s="3">
        <f t="shared" ref="AG2:AG7" si="5">AE2/AD2-1</f>
        <v>-0.61638981173864904</v>
      </c>
    </row>
    <row r="3" spans="1:33" x14ac:dyDescent="0.25">
      <c r="A3" s="10" t="s">
        <v>171</v>
      </c>
      <c r="B3" s="1">
        <v>0.14135</v>
      </c>
      <c r="C3" s="1">
        <v>4.9070000000000003E-2</v>
      </c>
      <c r="D3" s="1">
        <v>0.43437999999999999</v>
      </c>
      <c r="E3" s="1">
        <v>0.29980000000000001</v>
      </c>
      <c r="F3" s="1">
        <v>6.8400000000000002E-2</v>
      </c>
      <c r="G3" s="1">
        <v>7.0000000000000007E-2</v>
      </c>
      <c r="H3" s="1">
        <v>0.37569999999999998</v>
      </c>
      <c r="I3" s="1">
        <f>500.28/1000</f>
        <v>0.50027999999999995</v>
      </c>
      <c r="J3" s="1">
        <v>1.0064</v>
      </c>
      <c r="K3" s="1">
        <v>0.37</v>
      </c>
      <c r="L3" s="1">
        <v>0.23</v>
      </c>
      <c r="M3" s="1">
        <v>0.01</v>
      </c>
      <c r="N3" s="1">
        <v>0</v>
      </c>
      <c r="O3" s="1">
        <v>0.13</v>
      </c>
      <c r="P3" s="1">
        <v>0</v>
      </c>
      <c r="Q3" s="1">
        <v>0</v>
      </c>
      <c r="R3" s="1">
        <v>0.03</v>
      </c>
      <c r="S3" s="1">
        <v>0</v>
      </c>
      <c r="T3" s="85">
        <v>0.03</v>
      </c>
      <c r="U3" s="74">
        <v>0.44</v>
      </c>
      <c r="V3" s="3">
        <f t="shared" ref="V3:V7" si="6">U3/T3-1</f>
        <v>13.666666666666668</v>
      </c>
      <c r="W3" s="14" t="e">
        <f t="shared" ref="W3:W7" si="7">U3/Q3-1</f>
        <v>#DIV/0!</v>
      </c>
      <c r="X3" s="3"/>
      <c r="Y3" s="1">
        <f t="shared" si="0"/>
        <v>0.13840000000000002</v>
      </c>
      <c r="Z3" s="25">
        <f t="shared" si="1"/>
        <v>1.6063999999999998</v>
      </c>
      <c r="AA3" s="3"/>
      <c r="AB3" s="3">
        <f t="shared" si="2"/>
        <v>10.606936416184968</v>
      </c>
      <c r="AD3" s="30">
        <f t="shared" si="3"/>
        <v>1.0143800000000001</v>
      </c>
      <c r="AE3" s="8">
        <f t="shared" si="4"/>
        <v>1.6163999999999998</v>
      </c>
      <c r="AG3" s="3">
        <f t="shared" si="5"/>
        <v>0.59348567597941582</v>
      </c>
    </row>
    <row r="4" spans="1:33" x14ac:dyDescent="0.25">
      <c r="A4" s="10" t="s">
        <v>172</v>
      </c>
      <c r="B4" s="1">
        <v>0.40237000000000001</v>
      </c>
      <c r="C4" s="1">
        <v>7.7579999999999996E-2</v>
      </c>
      <c r="D4" s="1">
        <v>1.75109</v>
      </c>
      <c r="E4" s="1">
        <v>0.41781000000000001</v>
      </c>
      <c r="F4" s="1">
        <v>5.9499999999999997E-2</v>
      </c>
      <c r="G4" s="1">
        <v>0.06</v>
      </c>
      <c r="H4" s="1">
        <f>(302.5+1.6+86.6+481.5)/1000</f>
        <v>0.87220000000000009</v>
      </c>
      <c r="I4" s="1">
        <f>4511.24/1000</f>
        <v>4.5112399999999999</v>
      </c>
      <c r="J4" s="1">
        <v>1.976</v>
      </c>
      <c r="K4" s="1">
        <v>1.98</v>
      </c>
      <c r="L4" s="1">
        <v>2.57</v>
      </c>
      <c r="M4" s="1">
        <v>0.68</v>
      </c>
      <c r="N4" s="1">
        <v>0.5</v>
      </c>
      <c r="O4" s="1">
        <v>2.84</v>
      </c>
      <c r="P4" s="1">
        <v>0</v>
      </c>
      <c r="Q4" s="1">
        <v>0.44</v>
      </c>
      <c r="R4" s="1">
        <v>0.22</v>
      </c>
      <c r="S4" s="1">
        <v>0.39800000000000002</v>
      </c>
      <c r="T4" s="85">
        <f>1.14-0.09-0.02</f>
        <v>1.0299999999999998</v>
      </c>
      <c r="U4" s="74">
        <v>0</v>
      </c>
      <c r="V4" s="3">
        <f t="shared" si="6"/>
        <v>-1</v>
      </c>
      <c r="W4" s="14">
        <f t="shared" si="7"/>
        <v>-1</v>
      </c>
      <c r="X4" s="3"/>
      <c r="Y4" s="1">
        <f t="shared" si="0"/>
        <v>0.1195</v>
      </c>
      <c r="Z4" s="25">
        <f t="shared" si="1"/>
        <v>6.5259999999999998</v>
      </c>
      <c r="AA4" s="3"/>
      <c r="AB4" s="3">
        <f t="shared" si="2"/>
        <v>53.610878661087867</v>
      </c>
      <c r="AD4" s="30">
        <f t="shared" si="3"/>
        <v>5.5029399999999997</v>
      </c>
      <c r="AE4" s="8">
        <f t="shared" si="4"/>
        <v>7.2059999999999995</v>
      </c>
      <c r="AG4" s="3">
        <f t="shared" si="5"/>
        <v>0.30948184061610706</v>
      </c>
    </row>
    <row r="5" spans="1:33" x14ac:dyDescent="0.25">
      <c r="A5" s="10" t="s">
        <v>173</v>
      </c>
      <c r="B5" s="1">
        <v>0.44679999999999997</v>
      </c>
      <c r="C5" s="1">
        <v>0.56025000000000003</v>
      </c>
      <c r="D5" s="1">
        <v>0.45685999999999999</v>
      </c>
      <c r="E5" s="1">
        <v>1.09355</v>
      </c>
      <c r="F5" s="1">
        <f>0.0262+0.25</f>
        <v>0.2762</v>
      </c>
      <c r="G5" s="1">
        <v>0.6</v>
      </c>
      <c r="H5" s="1">
        <v>1.0318799999999999</v>
      </c>
      <c r="I5" s="1">
        <f>1524.18/1000</f>
        <v>1.5241800000000001</v>
      </c>
      <c r="J5" s="1">
        <v>1.1000000000000001</v>
      </c>
      <c r="K5" s="1">
        <v>2.02</v>
      </c>
      <c r="L5" s="1">
        <v>1.04</v>
      </c>
      <c r="M5" s="1">
        <v>1.48</v>
      </c>
      <c r="N5" s="1">
        <v>1.5</v>
      </c>
      <c r="O5" s="1">
        <v>1.1000000000000001</v>
      </c>
      <c r="P5" s="1">
        <v>1.49</v>
      </c>
      <c r="Q5" s="1">
        <v>0.87</v>
      </c>
      <c r="R5" s="1">
        <v>0.24</v>
      </c>
      <c r="S5" s="1">
        <v>0.17</v>
      </c>
      <c r="T5" s="85">
        <v>2.72</v>
      </c>
      <c r="U5" s="74">
        <v>1.52</v>
      </c>
      <c r="V5" s="3">
        <f t="shared" si="6"/>
        <v>-0.44117647058823528</v>
      </c>
      <c r="W5" s="14">
        <f t="shared" si="7"/>
        <v>0.74712643678160928</v>
      </c>
      <c r="X5" s="3"/>
      <c r="Y5" s="1">
        <f t="shared" si="0"/>
        <v>0.87619999999999998</v>
      </c>
      <c r="Z5" s="25">
        <f t="shared" si="1"/>
        <v>4.16</v>
      </c>
      <c r="AA5" s="3"/>
      <c r="AB5" s="3">
        <f t="shared" si="2"/>
        <v>3.7477744807121667</v>
      </c>
      <c r="AD5" s="30">
        <f t="shared" si="3"/>
        <v>3.4322600000000003</v>
      </c>
      <c r="AE5" s="8">
        <f t="shared" si="4"/>
        <v>5.6400000000000006</v>
      </c>
      <c r="AG5" s="3">
        <f t="shared" si="5"/>
        <v>0.64323215607209239</v>
      </c>
    </row>
    <row r="6" spans="1:33" x14ac:dyDescent="0.25">
      <c r="A6" s="10" t="s">
        <v>174</v>
      </c>
      <c r="B6" s="1">
        <v>5.586E-2</v>
      </c>
      <c r="C6" s="1">
        <v>6.8409999999999999E-2</v>
      </c>
      <c r="D6" s="1">
        <v>3.7019999999999997E-2</v>
      </c>
      <c r="E6" s="1">
        <v>0.10218000000000001</v>
      </c>
      <c r="F6" s="1">
        <v>3.866E-2</v>
      </c>
      <c r="G6" s="1">
        <v>0.1</v>
      </c>
      <c r="H6" s="1">
        <f>(477.76-302.5)/1000</f>
        <v>0.17526</v>
      </c>
      <c r="I6" s="1">
        <f>313.17/1000</f>
        <v>0.31317</v>
      </c>
      <c r="J6" s="1">
        <v>2.7E-2</v>
      </c>
      <c r="K6" s="1">
        <v>0.1</v>
      </c>
      <c r="L6" s="1">
        <v>0.4</v>
      </c>
      <c r="M6" s="1">
        <v>0.05</v>
      </c>
      <c r="N6" s="1">
        <v>0.04</v>
      </c>
      <c r="O6" s="1">
        <v>0.02</v>
      </c>
      <c r="P6" s="1">
        <v>0</v>
      </c>
      <c r="Q6" s="1">
        <v>0.04</v>
      </c>
      <c r="R6" s="1">
        <v>0.22</v>
      </c>
      <c r="S6" s="1">
        <v>0.03</v>
      </c>
      <c r="T6" s="85">
        <v>0.3</v>
      </c>
      <c r="U6" s="74">
        <v>0</v>
      </c>
      <c r="V6" s="3">
        <f t="shared" si="6"/>
        <v>-1</v>
      </c>
      <c r="W6" s="14">
        <f t="shared" si="7"/>
        <v>-1</v>
      </c>
      <c r="X6" s="3"/>
      <c r="Y6" s="1">
        <f t="shared" si="0"/>
        <v>0.13866000000000001</v>
      </c>
      <c r="Z6" s="25">
        <f t="shared" si="1"/>
        <v>0.52700000000000002</v>
      </c>
      <c r="AA6" s="3"/>
      <c r="AB6" s="3">
        <f t="shared" si="2"/>
        <v>2.8006634934371846</v>
      </c>
      <c r="AD6" s="30">
        <f t="shared" si="3"/>
        <v>0.62708999999999993</v>
      </c>
      <c r="AE6" s="8">
        <f t="shared" si="4"/>
        <v>0.57700000000000007</v>
      </c>
      <c r="AG6" s="3">
        <f t="shared" si="5"/>
        <v>-7.9876891674241168E-2</v>
      </c>
    </row>
    <row r="7" spans="1:33" s="4" customFormat="1" ht="15.6" x14ac:dyDescent="0.3">
      <c r="A7" s="4" t="s">
        <v>175</v>
      </c>
      <c r="B7" s="4">
        <f>SUM(B2:B6)</f>
        <v>1.1589200000000002</v>
      </c>
      <c r="C7" s="4">
        <f t="shared" ref="C7:H7" si="8">SUM(C2:C6)</f>
        <v>0.77483000000000002</v>
      </c>
      <c r="D7" s="4">
        <f t="shared" si="8"/>
        <v>2.7192499999999997</v>
      </c>
      <c r="E7" s="4">
        <f t="shared" si="8"/>
        <v>2.5668200000000003</v>
      </c>
      <c r="F7" s="4">
        <f t="shared" si="8"/>
        <v>0.61856000000000011</v>
      </c>
      <c r="G7" s="4">
        <f t="shared" si="8"/>
        <v>1.23</v>
      </c>
      <c r="H7" s="4">
        <f t="shared" si="8"/>
        <v>2.9848400000000002</v>
      </c>
      <c r="I7" s="4">
        <f t="shared" ref="I7:M7" si="9">SUM(I2:I6)</f>
        <v>8.000770000000001</v>
      </c>
      <c r="J7" s="4">
        <f t="shared" si="9"/>
        <v>4.2654000000000005</v>
      </c>
      <c r="K7" s="4">
        <f t="shared" si="9"/>
        <v>4.6899999999999995</v>
      </c>
      <c r="L7" s="4">
        <f t="shared" si="9"/>
        <v>4.6500000000000004</v>
      </c>
      <c r="M7" s="4">
        <f t="shared" si="9"/>
        <v>2.2999999999999998</v>
      </c>
      <c r="N7" s="4">
        <f t="shared" ref="N7:U7" si="10">SUM(N2:N6)</f>
        <v>2.04</v>
      </c>
      <c r="O7" s="4">
        <f t="shared" si="10"/>
        <v>4.09</v>
      </c>
      <c r="P7" s="4">
        <f t="shared" si="10"/>
        <v>1.69</v>
      </c>
      <c r="Q7" s="4">
        <f t="shared" si="10"/>
        <v>1.42</v>
      </c>
      <c r="R7" s="4">
        <f t="shared" ref="R7:T7" si="11">SUM(R2:R6)</f>
        <v>0.78</v>
      </c>
      <c r="S7" s="4">
        <f t="shared" si="11"/>
        <v>0.59800000000000009</v>
      </c>
      <c r="T7" s="86">
        <f t="shared" si="11"/>
        <v>4.26</v>
      </c>
      <c r="U7" s="75">
        <f t="shared" si="10"/>
        <v>2.0300000000000002</v>
      </c>
      <c r="V7" s="5">
        <f t="shared" si="6"/>
        <v>-0.52347417840375576</v>
      </c>
      <c r="W7" s="5">
        <f t="shared" si="7"/>
        <v>0.42957746478873271</v>
      </c>
      <c r="X7" s="5"/>
      <c r="Y7" s="4">
        <f t="shared" si="0"/>
        <v>1.84856</v>
      </c>
      <c r="Z7" s="36">
        <f t="shared" si="1"/>
        <v>13.605400000000001</v>
      </c>
      <c r="AA7" s="5"/>
      <c r="AB7" s="5">
        <f t="shared" si="2"/>
        <v>6.3599991344614191</v>
      </c>
      <c r="AD7" s="29">
        <f t="shared" si="3"/>
        <v>12.83417</v>
      </c>
      <c r="AE7" s="7">
        <f t="shared" si="4"/>
        <v>15.9054</v>
      </c>
      <c r="AG7" s="5">
        <f t="shared" si="5"/>
        <v>0.23930102219309846</v>
      </c>
    </row>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E11"/>
  <sheetViews>
    <sheetView zoomScaleNormal="100" zoomScalePageLayoutView="120" workbookViewId="0">
      <pane xSplit="1" ySplit="1" topLeftCell="N2" activePane="bottomRight" state="frozenSplit"/>
      <selection pane="topRight" activeCell="B1" sqref="B1"/>
      <selection pane="bottomLeft" activeCell="A2" sqref="A2"/>
      <selection pane="bottomRight" activeCell="W18" sqref="W18"/>
    </sheetView>
  </sheetViews>
  <sheetFormatPr defaultColWidth="10.54296875" defaultRowHeight="15" x14ac:dyDescent="0.25"/>
  <cols>
    <col min="1" max="1" width="34.54296875" style="17" bestFit="1" customWidth="1"/>
    <col min="2" max="28" width="7" style="17" bestFit="1" customWidth="1"/>
    <col min="29" max="29" width="7" style="18" customWidth="1"/>
    <col min="30" max="16384" width="10.54296875" style="17"/>
  </cols>
  <sheetData>
    <row r="1" spans="1:31" s="16" customFormat="1" ht="15.6" x14ac:dyDescent="0.3">
      <c r="A1" s="15" t="s">
        <v>177</v>
      </c>
      <c r="B1" s="16" t="s">
        <v>19</v>
      </c>
      <c r="C1" s="16" t="s">
        <v>20</v>
      </c>
      <c r="D1" s="16" t="s">
        <v>21</v>
      </c>
      <c r="E1" s="16" t="s">
        <v>22</v>
      </c>
      <c r="F1" s="16" t="s">
        <v>23</v>
      </c>
      <c r="G1" s="16" t="s">
        <v>9</v>
      </c>
      <c r="H1" s="16" t="s">
        <v>10</v>
      </c>
      <c r="I1" s="16" t="s">
        <v>11</v>
      </c>
      <c r="J1" s="16" t="s">
        <v>12</v>
      </c>
      <c r="K1" s="16" t="s">
        <v>13</v>
      </c>
      <c r="L1" s="16" t="s">
        <v>14</v>
      </c>
      <c r="M1" s="16" t="s">
        <v>15</v>
      </c>
      <c r="N1" s="16" t="s">
        <v>16</v>
      </c>
      <c r="O1" s="16" t="s">
        <v>30</v>
      </c>
      <c r="P1" s="16" t="s">
        <v>32</v>
      </c>
      <c r="Q1" s="16" t="s">
        <v>36</v>
      </c>
      <c r="R1" s="16" t="s">
        <v>37</v>
      </c>
      <c r="S1" s="16" t="s">
        <v>39</v>
      </c>
      <c r="T1" s="16" t="s">
        <v>42</v>
      </c>
      <c r="U1" s="16" t="s">
        <v>44</v>
      </c>
      <c r="V1" s="16" t="s">
        <v>48</v>
      </c>
      <c r="W1" s="16" t="s">
        <v>50</v>
      </c>
      <c r="X1" s="16" t="s">
        <v>52</v>
      </c>
      <c r="Y1" s="16" t="s">
        <v>54</v>
      </c>
      <c r="Z1" s="16" t="s">
        <v>56</v>
      </c>
      <c r="AA1" s="16" t="s">
        <v>58</v>
      </c>
      <c r="AB1" s="16" t="s">
        <v>60</v>
      </c>
      <c r="AC1" s="56" t="s">
        <v>62</v>
      </c>
      <c r="AD1" s="5" t="s">
        <v>79</v>
      </c>
      <c r="AE1" s="5" t="s">
        <v>80</v>
      </c>
    </row>
    <row r="2" spans="1:31" s="11" customFormat="1" ht="15.6" x14ac:dyDescent="0.3">
      <c r="A2" s="11" t="s">
        <v>176</v>
      </c>
      <c r="G2" s="12"/>
      <c r="W2" s="55"/>
      <c r="X2" s="55"/>
      <c r="Y2" s="55"/>
      <c r="Z2" s="55"/>
      <c r="AA2" s="55"/>
      <c r="AB2" s="55"/>
      <c r="AC2" s="55"/>
    </row>
    <row r="3" spans="1:31" x14ac:dyDescent="0.25">
      <c r="A3" s="17" t="s">
        <v>178</v>
      </c>
      <c r="B3" s="17">
        <v>398</v>
      </c>
      <c r="C3" s="17">
        <v>399</v>
      </c>
      <c r="D3" s="17">
        <v>440</v>
      </c>
      <c r="E3" s="17">
        <v>437</v>
      </c>
      <c r="F3" s="17">
        <v>443</v>
      </c>
      <c r="G3" s="17">
        <v>452</v>
      </c>
      <c r="H3" s="17">
        <v>484</v>
      </c>
      <c r="I3" s="17">
        <v>465</v>
      </c>
      <c r="J3" s="17">
        <v>475</v>
      </c>
      <c r="K3" s="17">
        <v>492</v>
      </c>
      <c r="L3" s="17">
        <v>532</v>
      </c>
      <c r="M3" s="17">
        <v>527</v>
      </c>
      <c r="N3" s="17">
        <v>539</v>
      </c>
      <c r="O3" s="17">
        <v>534</v>
      </c>
      <c r="P3" s="17">
        <v>555</v>
      </c>
      <c r="Q3" s="17">
        <v>576</v>
      </c>
      <c r="R3" s="17">
        <v>591</v>
      </c>
      <c r="S3" s="17">
        <v>602</v>
      </c>
      <c r="T3" s="17">
        <v>616</v>
      </c>
      <c r="U3" s="17">
        <v>614</v>
      </c>
      <c r="V3" s="17">
        <v>607</v>
      </c>
      <c r="W3" s="17">
        <v>590</v>
      </c>
      <c r="X3" s="17">
        <v>578</v>
      </c>
      <c r="Y3" s="17">
        <v>566</v>
      </c>
      <c r="Z3" s="17">
        <v>555</v>
      </c>
      <c r="AA3" s="17">
        <v>515</v>
      </c>
      <c r="AB3" s="17">
        <v>494</v>
      </c>
      <c r="AC3" s="57">
        <v>491</v>
      </c>
      <c r="AD3" s="14">
        <f>AC3/AB3-1</f>
        <v>-6.0728744939271273E-3</v>
      </c>
      <c r="AE3" s="14">
        <f>AC3/Y3-1</f>
        <v>-0.13250883392226154</v>
      </c>
    </row>
    <row r="4" spans="1:31" s="11" customFormat="1" ht="15.6" x14ac:dyDescent="0.3">
      <c r="A4" s="11" t="s">
        <v>179</v>
      </c>
      <c r="G4" s="12"/>
      <c r="W4" s="55"/>
      <c r="X4" s="55"/>
      <c r="Y4" s="55"/>
      <c r="Z4" s="55"/>
      <c r="AA4" s="55"/>
      <c r="AB4" s="55"/>
      <c r="AC4" s="55"/>
    </row>
    <row r="5" spans="1:31" s="27" customFormat="1" x14ac:dyDescent="0.25">
      <c r="A5" s="26" t="s">
        <v>180</v>
      </c>
      <c r="B5" s="27">
        <v>0.38</v>
      </c>
      <c r="C5" s="27">
        <v>0.4</v>
      </c>
      <c r="D5" s="27">
        <v>0.39</v>
      </c>
      <c r="E5" s="27">
        <v>0.41</v>
      </c>
      <c r="F5" s="27">
        <v>0.42</v>
      </c>
      <c r="G5" s="27">
        <v>0.42</v>
      </c>
      <c r="H5" s="27">
        <v>0.41</v>
      </c>
      <c r="I5" s="27">
        <v>0.44</v>
      </c>
      <c r="J5" s="27">
        <v>0.44</v>
      </c>
      <c r="K5" s="27">
        <v>0.44</v>
      </c>
      <c r="L5" s="27">
        <v>0.43</v>
      </c>
      <c r="M5" s="27">
        <v>0.45</v>
      </c>
      <c r="N5" s="27">
        <v>0.45</v>
      </c>
      <c r="O5" s="27">
        <v>0.46</v>
      </c>
      <c r="P5" s="27">
        <v>0.47</v>
      </c>
      <c r="Q5" s="27">
        <v>0.49</v>
      </c>
      <c r="R5" s="27">
        <v>0.5</v>
      </c>
      <c r="S5" s="27">
        <v>0.51</v>
      </c>
      <c r="T5" s="27">
        <v>0.52</v>
      </c>
      <c r="U5" s="27">
        <v>0.52</v>
      </c>
      <c r="V5" s="27">
        <v>0.51</v>
      </c>
      <c r="W5" s="27">
        <v>0.52</v>
      </c>
      <c r="X5" s="27">
        <v>0.52</v>
      </c>
      <c r="Y5" s="27">
        <v>0.52</v>
      </c>
      <c r="Z5" s="27">
        <v>0.52</v>
      </c>
      <c r="AA5" s="27">
        <v>0.53</v>
      </c>
      <c r="AB5" s="27">
        <v>0.54</v>
      </c>
      <c r="AC5" s="79">
        <v>0.54</v>
      </c>
      <c r="AD5" s="14">
        <f>AC5-AB5</f>
        <v>0</v>
      </c>
      <c r="AE5" s="14">
        <f>AC5-Y5</f>
        <v>2.0000000000000018E-2</v>
      </c>
    </row>
    <row r="6" spans="1:31" s="27" customFormat="1" x14ac:dyDescent="0.25">
      <c r="A6" s="26" t="s">
        <v>181</v>
      </c>
      <c r="B6" s="27">
        <v>0.33</v>
      </c>
      <c r="C6" s="27">
        <v>0.32</v>
      </c>
      <c r="D6" s="27">
        <v>0.33</v>
      </c>
      <c r="E6" s="27">
        <v>0.33</v>
      </c>
      <c r="F6" s="27">
        <v>0.34</v>
      </c>
      <c r="G6" s="27">
        <v>0.34</v>
      </c>
      <c r="H6" s="27">
        <v>0.36</v>
      </c>
      <c r="I6" s="27">
        <v>0.34</v>
      </c>
      <c r="J6" s="27">
        <v>0.36</v>
      </c>
      <c r="K6" s="27">
        <v>0.36</v>
      </c>
      <c r="L6" s="27">
        <v>0.35</v>
      </c>
      <c r="M6" s="27">
        <v>0.35</v>
      </c>
      <c r="N6" s="27">
        <v>0.35</v>
      </c>
      <c r="O6" s="27">
        <v>0.35</v>
      </c>
      <c r="P6" s="27">
        <v>0.34</v>
      </c>
      <c r="Q6" s="27">
        <v>0.33</v>
      </c>
      <c r="R6" s="27">
        <v>0.32</v>
      </c>
      <c r="S6" s="27">
        <v>0.31</v>
      </c>
      <c r="T6" s="27">
        <v>0.31</v>
      </c>
      <c r="U6" s="27">
        <v>0.31</v>
      </c>
      <c r="V6" s="27">
        <v>0.32</v>
      </c>
      <c r="W6" s="27">
        <v>0.32</v>
      </c>
      <c r="X6" s="27">
        <v>0.31</v>
      </c>
      <c r="Y6" s="27">
        <v>0.31</v>
      </c>
      <c r="Z6" s="27">
        <v>0.31</v>
      </c>
      <c r="AA6" s="27">
        <v>0.3</v>
      </c>
      <c r="AB6" s="27">
        <v>0.3</v>
      </c>
      <c r="AC6" s="79">
        <v>0.3</v>
      </c>
      <c r="AD6" s="14">
        <f t="shared" ref="AD6:AD8" si="0">AC6-AB6</f>
        <v>0</v>
      </c>
      <c r="AE6" s="14">
        <f t="shared" ref="AE6:AE8" si="1">AC6-Y6</f>
        <v>-1.0000000000000009E-2</v>
      </c>
    </row>
    <row r="7" spans="1:31" s="27" customFormat="1" x14ac:dyDescent="0.25">
      <c r="A7" s="26" t="s">
        <v>182</v>
      </c>
      <c r="B7" s="27">
        <v>0.24</v>
      </c>
      <c r="C7" s="27">
        <v>0.23</v>
      </c>
      <c r="D7" s="27">
        <v>0.24</v>
      </c>
      <c r="E7" s="27">
        <v>0.22</v>
      </c>
      <c r="F7" s="27">
        <v>0.2</v>
      </c>
      <c r="G7" s="27">
        <v>0.2</v>
      </c>
      <c r="H7" s="27">
        <v>0.19</v>
      </c>
      <c r="I7" s="27">
        <v>0.18</v>
      </c>
      <c r="J7" s="27">
        <v>0.16</v>
      </c>
      <c r="K7" s="27">
        <v>0.16</v>
      </c>
      <c r="L7" s="27">
        <v>0.17</v>
      </c>
      <c r="M7" s="27">
        <v>0.16</v>
      </c>
      <c r="N7" s="27">
        <v>0.16</v>
      </c>
      <c r="O7" s="27">
        <v>0.15</v>
      </c>
      <c r="P7" s="27">
        <v>0.15</v>
      </c>
      <c r="Q7" s="27">
        <v>0.13</v>
      </c>
      <c r="R7" s="27">
        <v>0.13</v>
      </c>
      <c r="S7" s="27">
        <v>0.13</v>
      </c>
      <c r="T7" s="27">
        <v>0.13</v>
      </c>
      <c r="U7" s="27">
        <v>0.13</v>
      </c>
      <c r="V7" s="27">
        <v>0.13</v>
      </c>
      <c r="W7" s="27">
        <v>0.12</v>
      </c>
      <c r="X7" s="27">
        <v>0.13</v>
      </c>
      <c r="Y7" s="27">
        <v>0.13</v>
      </c>
      <c r="Z7" s="27">
        <v>0.13</v>
      </c>
      <c r="AA7" s="27">
        <v>0.13</v>
      </c>
      <c r="AB7" s="27">
        <v>0.12</v>
      </c>
      <c r="AC7" s="79">
        <v>0.12</v>
      </c>
      <c r="AD7" s="14">
        <f t="shared" si="0"/>
        <v>0</v>
      </c>
      <c r="AE7" s="14">
        <f t="shared" si="1"/>
        <v>-1.0000000000000009E-2</v>
      </c>
    </row>
    <row r="8" spans="1:31" s="27" customFormat="1" x14ac:dyDescent="0.25">
      <c r="A8" s="28" t="s">
        <v>183</v>
      </c>
      <c r="B8" s="27">
        <v>0.05</v>
      </c>
      <c r="C8" s="27">
        <v>0.05</v>
      </c>
      <c r="D8" s="27">
        <v>0.04</v>
      </c>
      <c r="E8" s="27">
        <v>0.04</v>
      </c>
      <c r="F8" s="27">
        <v>0.04</v>
      </c>
      <c r="G8" s="27">
        <v>0.04</v>
      </c>
      <c r="H8" s="27">
        <v>0.04</v>
      </c>
      <c r="I8" s="27">
        <v>0.04</v>
      </c>
      <c r="J8" s="27">
        <v>0.04</v>
      </c>
      <c r="K8" s="27">
        <v>0.04</v>
      </c>
      <c r="L8" s="27">
        <v>0.05</v>
      </c>
      <c r="M8" s="27">
        <v>0.04</v>
      </c>
      <c r="N8" s="27">
        <v>0.04</v>
      </c>
      <c r="O8" s="27">
        <v>0.04</v>
      </c>
      <c r="P8" s="27">
        <v>0.04</v>
      </c>
      <c r="Q8" s="27">
        <v>0.05</v>
      </c>
      <c r="R8" s="27">
        <v>0.05</v>
      </c>
      <c r="S8" s="27">
        <v>0.05</v>
      </c>
      <c r="T8" s="27">
        <v>0.04</v>
      </c>
      <c r="U8" s="27">
        <v>0.04</v>
      </c>
      <c r="V8" s="27">
        <v>0.04</v>
      </c>
      <c r="W8" s="27">
        <v>0.04</v>
      </c>
      <c r="X8" s="27">
        <v>0.04</v>
      </c>
      <c r="Y8" s="27">
        <v>0.04</v>
      </c>
      <c r="Z8" s="27">
        <v>0.04</v>
      </c>
      <c r="AA8" s="27">
        <v>0.04</v>
      </c>
      <c r="AB8" s="27">
        <v>0.04</v>
      </c>
      <c r="AC8" s="79">
        <v>0.04</v>
      </c>
      <c r="AD8" s="14">
        <f t="shared" si="0"/>
        <v>0</v>
      </c>
      <c r="AE8" s="14">
        <f t="shared" si="1"/>
        <v>0</v>
      </c>
    </row>
    <row r="9" spans="1:31" s="11" customFormat="1" ht="15.6" x14ac:dyDescent="0.3">
      <c r="A9" s="11" t="s">
        <v>184</v>
      </c>
      <c r="G9" s="12"/>
      <c r="W9" s="55"/>
      <c r="X9" s="55"/>
      <c r="Y9" s="55"/>
      <c r="Z9" s="55"/>
      <c r="AA9" s="55"/>
      <c r="AB9" s="55"/>
      <c r="AC9" s="55"/>
    </row>
    <row r="10" spans="1:31" s="27" customFormat="1" x14ac:dyDescent="0.25">
      <c r="A10" s="26" t="s">
        <v>186</v>
      </c>
      <c r="B10" s="27">
        <v>0.44</v>
      </c>
      <c r="C10" s="27">
        <v>0.45</v>
      </c>
      <c r="D10" s="27">
        <v>0.44</v>
      </c>
      <c r="E10" s="27">
        <v>0.43</v>
      </c>
      <c r="F10" s="27">
        <v>0.43</v>
      </c>
      <c r="G10" s="27">
        <v>0.44</v>
      </c>
      <c r="H10" s="27">
        <v>0.43</v>
      </c>
      <c r="I10" s="27">
        <v>0.43</v>
      </c>
      <c r="J10" s="27">
        <v>0.42</v>
      </c>
      <c r="K10" s="27">
        <v>0.42</v>
      </c>
      <c r="L10" s="27">
        <v>0.39</v>
      </c>
      <c r="M10" s="27">
        <v>0.42</v>
      </c>
      <c r="N10" s="27">
        <v>0.41</v>
      </c>
      <c r="O10" s="27">
        <v>0.41</v>
      </c>
      <c r="P10" s="27">
        <v>0.42</v>
      </c>
      <c r="Q10" s="27">
        <v>0.41</v>
      </c>
      <c r="R10" s="27">
        <v>0.4</v>
      </c>
      <c r="S10" s="27">
        <v>0.4</v>
      </c>
      <c r="T10" s="27">
        <v>0.39</v>
      </c>
      <c r="U10" s="27">
        <v>0.39</v>
      </c>
      <c r="V10" s="27">
        <v>0.4</v>
      </c>
      <c r="W10" s="27">
        <v>0.4</v>
      </c>
      <c r="X10" s="27">
        <v>0.41</v>
      </c>
      <c r="Y10" s="27">
        <v>0.41</v>
      </c>
      <c r="Z10" s="27">
        <v>0.4</v>
      </c>
      <c r="AA10" s="27">
        <v>0.41</v>
      </c>
      <c r="AB10" s="27">
        <v>0.41</v>
      </c>
      <c r="AC10" s="58">
        <v>0.41</v>
      </c>
      <c r="AD10" s="14">
        <f t="shared" ref="AD10:AD11" si="2">AC10-AB10</f>
        <v>0</v>
      </c>
      <c r="AE10" s="14">
        <f t="shared" ref="AE10:AE11" si="3">AC10-Y10</f>
        <v>0</v>
      </c>
    </row>
    <row r="11" spans="1:31" s="27" customFormat="1" x14ac:dyDescent="0.25">
      <c r="A11" s="26" t="s">
        <v>185</v>
      </c>
      <c r="B11" s="27">
        <v>0.56000000000000005</v>
      </c>
      <c r="C11" s="27">
        <v>0.55000000000000004</v>
      </c>
      <c r="D11" s="27">
        <v>0.56000000000000005</v>
      </c>
      <c r="E11" s="27">
        <v>0.56999999999999995</v>
      </c>
      <c r="F11" s="27">
        <v>0.56999999999999995</v>
      </c>
      <c r="G11" s="27">
        <v>0.56000000000000005</v>
      </c>
      <c r="H11" s="27">
        <v>0.56999999999999995</v>
      </c>
      <c r="I11" s="27">
        <v>0.56999999999999995</v>
      </c>
      <c r="J11" s="27">
        <v>0.57999999999999996</v>
      </c>
      <c r="K11" s="27">
        <v>0.57999999999999996</v>
      </c>
      <c r="L11" s="27">
        <v>0.61</v>
      </c>
      <c r="M11" s="27">
        <v>0.57999999999999996</v>
      </c>
      <c r="N11" s="27">
        <v>0.59</v>
      </c>
      <c r="O11" s="27">
        <v>0.59</v>
      </c>
      <c r="P11" s="27">
        <v>0.57999999999999996</v>
      </c>
      <c r="Q11" s="27">
        <v>0.59</v>
      </c>
      <c r="R11" s="27">
        <v>0.6</v>
      </c>
      <c r="S11" s="27">
        <v>0.6</v>
      </c>
      <c r="T11" s="27">
        <v>0.61</v>
      </c>
      <c r="U11" s="27">
        <v>0.61</v>
      </c>
      <c r="V11" s="27">
        <v>0.6</v>
      </c>
      <c r="W11" s="27">
        <v>0.6</v>
      </c>
      <c r="X11" s="27">
        <v>0.59</v>
      </c>
      <c r="Y11" s="27">
        <v>0.59</v>
      </c>
      <c r="Z11" s="27">
        <v>0.6</v>
      </c>
      <c r="AA11" s="27">
        <v>0.59</v>
      </c>
      <c r="AB11" s="27">
        <v>0.59</v>
      </c>
      <c r="AC11" s="58">
        <v>0.59</v>
      </c>
      <c r="AD11" s="14">
        <f t="shared" si="2"/>
        <v>0</v>
      </c>
      <c r="AE11" s="14">
        <f t="shared" si="3"/>
        <v>0</v>
      </c>
    </row>
  </sheetData>
  <pageMargins left="0.7" right="0.7" top="0.75" bottom="0.75" header="0.3" footer="0.3"/>
  <pageSetup paperSize="9" orientation="portrait" horizontalDpi="0" verticalDpi="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C6"/>
  <sheetViews>
    <sheetView workbookViewId="0">
      <selection activeCell="B9" sqref="B9"/>
    </sheetView>
  </sheetViews>
  <sheetFormatPr defaultColWidth="10.54296875" defaultRowHeight="15" x14ac:dyDescent="0.25"/>
  <cols>
    <col min="1" max="1" width="32.54296875" customWidth="1"/>
    <col min="2" max="2" width="26" style="19" customWidth="1"/>
    <col min="3" max="3" width="27.81640625" style="3" customWidth="1"/>
  </cols>
  <sheetData>
    <row r="1" spans="1:3" s="20" customFormat="1" ht="15.6" x14ac:dyDescent="0.3">
      <c r="A1" s="22" t="s">
        <v>187</v>
      </c>
      <c r="B1" s="21" t="s">
        <v>188</v>
      </c>
      <c r="C1" s="5" t="s">
        <v>189</v>
      </c>
    </row>
    <row r="2" spans="1:3" x14ac:dyDescent="0.25">
      <c r="A2" t="s">
        <v>0</v>
      </c>
      <c r="B2" s="19">
        <v>2670610</v>
      </c>
      <c r="C2" s="3">
        <f>B2/B$6</f>
        <v>0.37099173863697926</v>
      </c>
    </row>
    <row r="3" spans="1:3" x14ac:dyDescent="0.25">
      <c r="A3" t="s">
        <v>1</v>
      </c>
      <c r="B3" s="19">
        <v>1120000</v>
      </c>
      <c r="C3" s="3">
        <f>B3/B$6</f>
        <v>0.15558645675460542</v>
      </c>
    </row>
    <row r="4" spans="1:3" x14ac:dyDescent="0.25">
      <c r="A4" t="s">
        <v>190</v>
      </c>
      <c r="B4" s="19">
        <v>1349715</v>
      </c>
      <c r="C4" s="3">
        <f>B4/B$6</f>
        <v>0.18749765578441274</v>
      </c>
    </row>
    <row r="5" spans="1:3" x14ac:dyDescent="0.25">
      <c r="A5" t="s">
        <v>191</v>
      </c>
      <c r="B5" s="19">
        <v>2058245</v>
      </c>
      <c r="C5" s="3">
        <f>B5/B$6</f>
        <v>0.28592414882400252</v>
      </c>
    </row>
    <row r="6" spans="1:3" s="20" customFormat="1" ht="15.6" x14ac:dyDescent="0.3">
      <c r="A6" s="20" t="s">
        <v>192</v>
      </c>
      <c r="B6" s="21">
        <v>7198570</v>
      </c>
      <c r="C6" s="5">
        <f>B6/B$6</f>
        <v>1</v>
      </c>
    </row>
  </sheetData>
  <pageMargins left="0.7" right="0.7" top="0.75" bottom="0.75" header="0.3" footer="0.3"/>
  <pageSetup paperSize="9"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9</vt:i4>
      </vt:variant>
    </vt:vector>
  </HeadingPairs>
  <TitlesOfParts>
    <vt:vector size="9" baseType="lpstr">
      <vt:lpstr>Basic information</vt:lpstr>
      <vt:lpstr>Profit &amp; Loss_Q</vt:lpstr>
      <vt:lpstr>Profit &amp; Loss_Y</vt:lpstr>
      <vt:lpstr>Balance sheet</vt:lpstr>
      <vt:lpstr>Cashflow_Q</vt:lpstr>
      <vt:lpstr>Cashflow_FY</vt:lpstr>
      <vt:lpstr>Investment</vt:lpstr>
      <vt:lpstr>HR</vt:lpstr>
      <vt:lpstr>Akcjonariat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Spreadsheet LUG</dc:title>
  <dc:subject>Skonsolidowane wyniki finansowe LUG S.A.</dc:subject>
  <dc:creator>Marta Dobrołowicz</dc:creator>
  <cp:keywords/>
  <dc:description/>
  <cp:lastModifiedBy>Angelika Biały</cp:lastModifiedBy>
  <cp:lastPrinted>2021-02-05T15:27:07Z</cp:lastPrinted>
  <dcterms:created xsi:type="dcterms:W3CDTF">2017-05-04T17:59:23Z</dcterms:created>
  <dcterms:modified xsi:type="dcterms:W3CDTF">2021-02-17T10:18:45Z</dcterms:modified>
  <cp:category/>
</cp:coreProperties>
</file>