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6975"/>
  </bookViews>
  <sheets>
    <sheet name="RZiS LUG S.A." sheetId="2" r:id="rId1"/>
    <sheet name="Sk. spr.z cał.doch. LUG S.A." sheetId="4" r:id="rId2"/>
    <sheet name="Bilans LUG S.A." sheetId="3" r:id="rId3"/>
    <sheet name="Zest.zmian w kap.wł. LUG S.A." sheetId="5" r:id="rId4"/>
    <sheet name="Rach.przep.pienięż LUG S.A." sheetId="6" r:id="rId5"/>
    <sheet name="Wybrane dane finansowe LUG S.A " sheetId="7" r:id="rId6"/>
    <sheet name="Wskaźniki finansowe LUG S.A." sheetId="8" r:id="rId7"/>
    <sheet name="Kursy walut" sheetId="9" r:id="rId8"/>
  </sheets>
  <calcPr calcId="145621"/>
</workbook>
</file>

<file path=xl/calcChain.xml><?xml version="1.0" encoding="utf-8"?>
<calcChain xmlns="http://schemas.openxmlformats.org/spreadsheetml/2006/main">
  <c r="F6" i="7" l="1"/>
  <c r="F7" i="7"/>
  <c r="F8" i="7"/>
  <c r="F9" i="7"/>
  <c r="F10" i="7"/>
  <c r="F11" i="7"/>
  <c r="F12" i="7"/>
  <c r="F13" i="7"/>
  <c r="F5" i="7"/>
  <c r="E6" i="7"/>
  <c r="E7" i="7"/>
  <c r="E8" i="7"/>
  <c r="E9" i="7"/>
  <c r="E10" i="7"/>
  <c r="E11" i="7"/>
  <c r="E12" i="7"/>
  <c r="E13" i="7"/>
  <c r="E5" i="7"/>
  <c r="F17" i="7"/>
  <c r="F18" i="7"/>
  <c r="F19" i="7"/>
  <c r="F20" i="7"/>
  <c r="F21" i="7"/>
  <c r="F22" i="7"/>
  <c r="F23" i="7"/>
  <c r="F24" i="7"/>
  <c r="F25" i="7"/>
  <c r="F26" i="7"/>
  <c r="F27" i="7"/>
  <c r="F28" i="7"/>
  <c r="F16" i="7"/>
  <c r="E17" i="7"/>
  <c r="E18" i="7"/>
  <c r="E19" i="7"/>
  <c r="E20" i="7"/>
  <c r="E21" i="7"/>
  <c r="E22" i="7"/>
  <c r="E23" i="7"/>
  <c r="E24" i="7"/>
  <c r="E25" i="7"/>
  <c r="E26" i="7"/>
  <c r="E27" i="7"/>
  <c r="E28" i="7"/>
  <c r="E16" i="7"/>
  <c r="D26" i="2"/>
  <c r="D11" i="8" l="1"/>
  <c r="G23" i="7"/>
  <c r="C26" i="7"/>
  <c r="C11" i="8" s="1"/>
  <c r="D22" i="7"/>
  <c r="D21" i="7" s="1"/>
  <c r="D15" i="3"/>
  <c r="C51" i="3"/>
  <c r="C49" i="3"/>
  <c r="C8" i="3"/>
  <c r="C4" i="3" s="1"/>
  <c r="C15" i="3"/>
  <c r="D26" i="7"/>
  <c r="D24" i="7" s="1"/>
  <c r="D12" i="8" s="1"/>
  <c r="D51" i="3"/>
  <c r="D49" i="3"/>
  <c r="D32" i="3"/>
  <c r="D5" i="3"/>
  <c r="D4" i="3" s="1"/>
  <c r="D7" i="2"/>
  <c r="D4" i="2"/>
  <c r="C21" i="7"/>
  <c r="D16" i="7"/>
  <c r="C16" i="7"/>
  <c r="D12" i="7"/>
  <c r="D13" i="7" s="1"/>
  <c r="C12" i="7"/>
  <c r="C13" i="7" s="1"/>
  <c r="C11" i="7"/>
  <c r="D11" i="7"/>
  <c r="I12" i="5"/>
  <c r="J12" i="5" s="1"/>
  <c r="E8" i="5"/>
  <c r="E15" i="5" s="1"/>
  <c r="F8" i="5"/>
  <c r="F15" i="5" s="1"/>
  <c r="H8" i="5"/>
  <c r="H15" i="5" s="1"/>
  <c r="J22" i="5"/>
  <c r="J19" i="5"/>
  <c r="J18" i="5"/>
  <c r="I22" i="5"/>
  <c r="I23" i="5"/>
  <c r="J23" i="5" s="1"/>
  <c r="I24" i="5"/>
  <c r="J24" i="5" s="1"/>
  <c r="I25" i="5"/>
  <c r="J25" i="5" s="1"/>
  <c r="I26" i="5"/>
  <c r="I21" i="5"/>
  <c r="J21" i="5" s="1"/>
  <c r="I17" i="5"/>
  <c r="J17" i="5" s="1"/>
  <c r="C24" i="7" l="1"/>
  <c r="C12" i="8" s="1"/>
  <c r="D10" i="2"/>
  <c r="D17" i="2" s="1"/>
  <c r="D21" i="2" s="1"/>
  <c r="J20" i="5"/>
  <c r="D35" i="6"/>
  <c r="C35" i="6"/>
  <c r="C24" i="6" l="1"/>
  <c r="D24" i="6"/>
  <c r="C19" i="6"/>
  <c r="D19" i="6"/>
  <c r="E20" i="5"/>
  <c r="E27" i="5" s="1"/>
  <c r="J26" i="5"/>
  <c r="D27" i="5"/>
  <c r="D5" i="5" s="1"/>
  <c r="D8" i="5" s="1"/>
  <c r="D15" i="5" s="1"/>
  <c r="H27" i="5"/>
  <c r="D20" i="5"/>
  <c r="F20" i="5"/>
  <c r="F27" i="5" s="1"/>
  <c r="G20" i="5"/>
  <c r="G27" i="5" s="1"/>
  <c r="G5" i="5" s="1"/>
  <c r="H20" i="5"/>
  <c r="I20" i="5"/>
  <c r="I27" i="5" s="1"/>
  <c r="J27" i="5" s="1"/>
  <c r="C20" i="5"/>
  <c r="C27" i="5" s="1"/>
  <c r="C5" i="5" s="1"/>
  <c r="C8" i="5" s="1"/>
  <c r="C15" i="5" s="1"/>
  <c r="D27" i="2"/>
  <c r="D30" i="2" s="1"/>
  <c r="D33" i="6"/>
  <c r="C33" i="6"/>
  <c r="D6" i="6"/>
  <c r="D17" i="6" s="1"/>
  <c r="C6" i="6"/>
  <c r="C17" i="6" s="1"/>
  <c r="I5" i="5" l="1"/>
  <c r="G8" i="5"/>
  <c r="G15" i="5" s="1"/>
  <c r="D29" i="2"/>
  <c r="D34" i="2"/>
  <c r="D33" i="2"/>
  <c r="D32" i="2"/>
  <c r="D31" i="2"/>
  <c r="D29" i="6"/>
  <c r="C29" i="6"/>
  <c r="C34" i="6" s="1"/>
  <c r="D34" i="6"/>
  <c r="D46" i="3"/>
  <c r="C46" i="3"/>
  <c r="D38" i="3"/>
  <c r="C38" i="3"/>
  <c r="D28" i="3"/>
  <c r="C28" i="3"/>
  <c r="D13" i="3"/>
  <c r="C13" i="3"/>
  <c r="D4" i="4"/>
  <c r="C7" i="2"/>
  <c r="C4" i="2"/>
  <c r="D11" i="4" l="1"/>
  <c r="D13" i="4" s="1"/>
  <c r="J5" i="5"/>
  <c r="J8" i="5" s="1"/>
  <c r="J15" i="5" s="1"/>
  <c r="I8" i="5"/>
  <c r="I15" i="5" s="1"/>
  <c r="D56" i="3"/>
  <c r="D24" i="3"/>
  <c r="C56" i="3"/>
  <c r="C57" i="3" s="1"/>
  <c r="C24" i="3"/>
  <c r="C10" i="2"/>
  <c r="C17" i="2" s="1"/>
  <c r="C21" i="2" s="1"/>
  <c r="D57" i="3" l="1"/>
  <c r="C26" i="2"/>
  <c r="C4" i="4" l="1"/>
  <c r="C11" i="4" s="1"/>
  <c r="C13" i="4" s="1"/>
  <c r="C27" i="2"/>
  <c r="G28" i="7"/>
  <c r="G27" i="7"/>
  <c r="G26" i="7"/>
  <c r="G25" i="7"/>
  <c r="G20" i="7"/>
  <c r="G18" i="7"/>
  <c r="G17" i="7"/>
  <c r="G16" i="7"/>
  <c r="G7" i="7"/>
  <c r="G6" i="7"/>
  <c r="G5" i="7"/>
  <c r="C31" i="2" l="1"/>
  <c r="C33" i="2"/>
  <c r="C32" i="2"/>
  <c r="C29" i="2"/>
  <c r="C30" i="2"/>
  <c r="C34" i="2"/>
  <c r="G24" i="7"/>
  <c r="G22" i="7"/>
  <c r="G21" i="7"/>
</calcChain>
</file>

<file path=xl/sharedStrings.xml><?xml version="1.0" encoding="utf-8"?>
<sst xmlns="http://schemas.openxmlformats.org/spreadsheetml/2006/main" count="249" uniqueCount="176">
  <si>
    <t>Przychody ze sprzedaży</t>
  </si>
  <si>
    <t>Przychody ze sprzedaży produktów i usług</t>
  </si>
  <si>
    <t>Przychody ze sprzedaży towarów i materiałów</t>
  </si>
  <si>
    <t>Koszty sprzedanych produktów, towarów i materiałów</t>
  </si>
  <si>
    <t>Koszty wytworzenia sprzedanych produktów i usług</t>
  </si>
  <si>
    <t>Wartość sprzedanych towarów i materiałów</t>
  </si>
  <si>
    <t>Zysk  (strata) brutto na sprzedaży</t>
  </si>
  <si>
    <t>Różnica z tytułu przekazania aktywów niegotówkowych właścicielom</t>
  </si>
  <si>
    <t>Pozostałe przychody operacyjne</t>
  </si>
  <si>
    <t>Koszty sprzedaży</t>
  </si>
  <si>
    <t>Koszty ogólnego zarządu</t>
  </si>
  <si>
    <t>Nakłady na prace badawcze i rozwojowe</t>
  </si>
  <si>
    <t>Pozostałe koszty operacyjne</t>
  </si>
  <si>
    <t>Zysk (strata) na działalności operacyjnej</t>
  </si>
  <si>
    <t>Przychody finansowe</t>
  </si>
  <si>
    <t>Koszty finansowe</t>
  </si>
  <si>
    <t>Udział w zyskach (stratach) netto jednostek wycenianych metodą praw własności</t>
  </si>
  <si>
    <t>Zysk (strata) przed opodatkowaniem</t>
  </si>
  <si>
    <t>Podatek dochodowy</t>
  </si>
  <si>
    <t>Zysk (strata) netto należny udziałowcom mniejszościowym</t>
  </si>
  <si>
    <t>Zysk (strata) netto z działalności kontynuowanej</t>
  </si>
  <si>
    <t>Zysk (strata) z działalności zaniechanej</t>
  </si>
  <si>
    <t>Zysk (strata) netto</t>
  </si>
  <si>
    <t>Zysk (strata) netto należny akcjonariuszom jenostki dominującej</t>
  </si>
  <si>
    <t>Zysk (strata) netto na jedną akcję (w zł)</t>
  </si>
  <si>
    <t>Podstawowy za okres obrotowy</t>
  </si>
  <si>
    <t>Rozwodniony za okres obrotowy</t>
  </si>
  <si>
    <t>Zysk (strata) netto na jedną akcję z działalności kontynuowanej (w zł)</t>
  </si>
  <si>
    <t>w tys. PLN</t>
  </si>
  <si>
    <t>Aktywa trwałe</t>
  </si>
  <si>
    <t>Rzeczowe aktywa trwałe</t>
  </si>
  <si>
    <t xml:space="preserve">Wartości niematerialne </t>
  </si>
  <si>
    <t>Nieruchomości inwestycyjne</t>
  </si>
  <si>
    <t>Inwestycje w jednostkach podporządkowanych</t>
  </si>
  <si>
    <t>Aktywa finansowe dostepne do sprzedaży</t>
  </si>
  <si>
    <t>Pozostałe aktywa finansowe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</si>
  <si>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</si>
  <si>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</si>
  <si>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</si>
  <si>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</si>
  <si>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</si>
  <si>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Należności z tytułu bieżącego podatku dochodowego</t>
  </si>
  <si>
    <t xml:space="preserve">Pozostałe należności </t>
  </si>
  <si>
    <t>Aktywa finansowe dostępne do sprzedaży</t>
  </si>
  <si>
    <t>Aktywa finansowe wyceniane w wartości godziwej przez wynik finansowy</t>
  </si>
  <si>
    <t>Rozliczenia międzyokresowe</t>
  </si>
  <si>
    <t>Środki pieniężne i ich ekwiwalenty</t>
  </si>
  <si>
    <t>Aktywa zaklasyfikowane jako przeznaczone do sprzedaży</t>
  </si>
  <si>
    <t>AKTYWA  RAZEM</t>
  </si>
  <si>
    <t>AKTYWA</t>
  </si>
  <si>
    <t>PASYWA</t>
  </si>
  <si>
    <t>Kapitał własny</t>
  </si>
  <si>
    <t>Kapitał zakładowy</t>
  </si>
  <si>
    <t>Kapitał zapasowy z emisji akcji powyżej wartości nominalnej</t>
  </si>
  <si>
    <t>Akcje własne</t>
  </si>
  <si>
    <t>Pozostałe kapitały</t>
  </si>
  <si>
    <t>Niepodzielony wynik finansowy</t>
  </si>
  <si>
    <t>Różnice kursowe z przeliczenia</t>
  </si>
  <si>
    <t>Zyski zatrzymane</t>
  </si>
  <si>
    <t>Wynik finansowy bieżącego okresu</t>
  </si>
  <si>
    <t>Kapitał akcjonariuszy mniejszościowych</t>
  </si>
  <si>
    <t>Zobowiązanie długoterminowe</t>
  </si>
  <si>
    <t>Kredyty i pożyczki</t>
  </si>
  <si>
    <t>Pozostałe zobowiązania finansowe</t>
  </si>
  <si>
    <t>Inne zobowiązania długoterminowe</t>
  </si>
  <si>
    <t>Rezerwy z tytułu odroczonego podatku dochodowego</t>
  </si>
  <si>
    <t>Rozliczenia międzyokresowe przychodów</t>
  </si>
  <si>
    <t>Rezerwa na świadczenia emerytalne i podobne</t>
  </si>
  <si>
    <t>Pozostałe rezerwy</t>
  </si>
  <si>
    <t>Zobowiązania krótkoterminowe</t>
  </si>
  <si>
    <t>Zobowiązania handlowe</t>
  </si>
  <si>
    <t>Zobowiązania z tytułu bieżącego podatku dochodowego</t>
  </si>
  <si>
    <t>Pozostałe zobowiązania</t>
  </si>
  <si>
    <t>Zobowiązania bezpośrednio związane z aktywami klasyfikowanymi jako przeznaczone do sprzedaży</t>
  </si>
  <si>
    <t>PASYWA  RAZEM</t>
  </si>
  <si>
    <t>Wartość księgowa na akcję (w zł)</t>
  </si>
  <si>
    <t>Zmiany w nadwyżce z przeszacowania</t>
  </si>
  <si>
    <t>Zyski (straty) z tytułu przeszacowania składników aktywów finansowych dostępnych do sprzedaży</t>
  </si>
  <si>
    <t>Efektywna część zysków i strat związanych z instrumentami zabezpieczającymi przepływy środków pieniężnych</t>
  </si>
  <si>
    <t>Zyski (straty) aktuarialne z programów określonych świadczeń emerytalnych</t>
  </si>
  <si>
    <t>Różnice kursowe z wyceny jednostek działających za granicą</t>
  </si>
  <si>
    <t>Podatek dochodowy związany z elementami pozostałych całkowitych dochodów</t>
  </si>
  <si>
    <t xml:space="preserve">Suma dochodów całkowitych </t>
  </si>
  <si>
    <t>Suma dochodów całkowitych przypisana akcjonariuszom niekontrolującym</t>
  </si>
  <si>
    <t>Suma dochodów całkowitych przypadająca na podmiot dominujący</t>
  </si>
  <si>
    <t xml:space="preserve">Kapitały zapasowy ze sprzedaży akcji powyżej ceny nominalnej </t>
  </si>
  <si>
    <t>Kapitał własny akcjonariuszy jednostki dominującej</t>
  </si>
  <si>
    <t>Kapitał
własny ogółem</t>
  </si>
  <si>
    <t>Zmiany zasad (polityki) rachunkowości</t>
  </si>
  <si>
    <t>Korekty z tyt. błędów podstawowych</t>
  </si>
  <si>
    <t>Kapitał własny po korektach</t>
  </si>
  <si>
    <t>Emisja akcji</t>
  </si>
  <si>
    <t>Koszty emisji akcji</t>
  </si>
  <si>
    <t>Płatność w formie akcji własnych</t>
  </si>
  <si>
    <t>Podział zysku netto</t>
  </si>
  <si>
    <t>Wypłata dywidendy</t>
  </si>
  <si>
    <t>Suma dochodów całkowitych</t>
  </si>
  <si>
    <t>Dynamika (PLN)</t>
  </si>
  <si>
    <t>2013 PLN</t>
  </si>
  <si>
    <t>2013 EUR</t>
  </si>
  <si>
    <t>Amortyzacja</t>
  </si>
  <si>
    <t>Zysk (strata) ze sprzedaży brutto</t>
  </si>
  <si>
    <t>Zysk (strata) ze sprzedaży netto</t>
  </si>
  <si>
    <t>Zysk (strata) z działalności operacyjnej</t>
  </si>
  <si>
    <t>Zysk z działalności gospodarczej</t>
  </si>
  <si>
    <t>*</t>
  </si>
  <si>
    <t>EBITDA</t>
  </si>
  <si>
    <t>Zysk (strata) brutto</t>
  </si>
  <si>
    <t>Aktywa razem, w tym:</t>
  </si>
  <si>
    <t>Środki pieniężne i inne aktywa pieniężne</t>
  </si>
  <si>
    <t>Należności razem, w tym:</t>
  </si>
  <si>
    <t>Należności krótkoterminowe</t>
  </si>
  <si>
    <t>Należności  długoterminowe</t>
  </si>
  <si>
    <t>Zobowiązania i rezerwy na zobowiązania, w tym:</t>
  </si>
  <si>
    <t>Zobowiązania długoterminowe</t>
  </si>
  <si>
    <t>Kapitał własny, w tym:</t>
  </si>
  <si>
    <t>Kapitał podstawowy</t>
  </si>
  <si>
    <t>Wskaźnik rentowności operacyjnej</t>
  </si>
  <si>
    <t>Wskaźnik rentowności EBITDA</t>
  </si>
  <si>
    <t>Wskaźnik rentowności netto</t>
  </si>
  <si>
    <t>Wskaźnik rentowności kapitału własnego (ROE)</t>
  </si>
  <si>
    <t>Wskaźnik rentowności majątku (ROA)</t>
  </si>
  <si>
    <t>Wskaźnik ogólnej płynności</t>
  </si>
  <si>
    <t>Wskaźnik ogólnego zadłużenia</t>
  </si>
  <si>
    <t>Kurs euro na dzień bilansowy</t>
  </si>
  <si>
    <t>Średni kurs euro w okresie</t>
  </si>
  <si>
    <t>II. Korekty razem</t>
  </si>
  <si>
    <t>1. Amortyzacja (w tym odpisy wartości firmy lub ujemnej wartości firmy)</t>
  </si>
  <si>
    <t>2. Zyski (straty) z tytułu różnic kursowych</t>
  </si>
  <si>
    <t>3. Odsetki i udziały w zyskach (dywidendy)</t>
  </si>
  <si>
    <t>4. Zysk (strata) z działalnosci inwestycyjnej</t>
  </si>
  <si>
    <t>5. Zmiana stanu rezerw</t>
  </si>
  <si>
    <t>6. Zmiana stanu zapasów</t>
  </si>
  <si>
    <t>7. Zmiana stanu należności</t>
  </si>
  <si>
    <t>8. Zmiana stanu zobowiązań krótkoterminowych, z z wyjątkiem pożyczek i kredytów</t>
  </si>
  <si>
    <t>9. Zmiana stanu rozliczeń międzyokresowych</t>
  </si>
  <si>
    <t>10. Inne korekty z działalności operacyjnej</t>
  </si>
  <si>
    <t>III. Przepływy pieniężne netto z działalności operacyjnej (I+/–II)</t>
  </si>
  <si>
    <t>I. Wpływy</t>
  </si>
  <si>
    <t>1. Zbycie wartości niematerialnych i prawnych oraz rzeczowych aktywów trwałych</t>
  </si>
  <si>
    <t>2. Zbycie inwestycji w nieruchomości oraz wartości niematerialne i prawne</t>
  </si>
  <si>
    <t>4. Inne wpływy inwestycyjne</t>
  </si>
  <si>
    <t>II. Wydatki</t>
  </si>
  <si>
    <t>1. Nabycie wartości niematerialnych i prawnych oraz rzeczowych aktywów trwałych</t>
  </si>
  <si>
    <t>2. Inwestycje w nieruchomości oraz wartości niematerialane i prawne</t>
  </si>
  <si>
    <t>4. Inne wydatki inwestycyjne</t>
  </si>
  <si>
    <t>III. Przepływy pieniężne netto z działalności inwestycyjnej (I–II)</t>
  </si>
  <si>
    <t>III. Przepływy pieniężne netto z działalności finansowej (I–II)</t>
  </si>
  <si>
    <t>D. Przepływy pieniężne netto razem (A.III.+/–B.III+/–C.III)</t>
  </si>
  <si>
    <t>E. Bilansowa zmiana stanu środków pieniężnych, w tym:</t>
  </si>
  <si>
    <t>– zmiana stanu środków pienięznych z tytułu różnic kursowych</t>
  </si>
  <si>
    <t>F. Środki pieniężne na początek okresu</t>
  </si>
  <si>
    <t>G. Środki pieniężne na koniec okresu (F+D), w tym</t>
  </si>
  <si>
    <t>– o ograniczonej mozliwości dysponowania</t>
  </si>
  <si>
    <t>A. DZIAŁALNOŚĆ OPERACYJNA</t>
  </si>
  <si>
    <t>B. DZIAŁALNOŚĆ INWESTYCYJNA</t>
  </si>
  <si>
    <t>C. DZIAŁALNOŚĆ FINANSOWA</t>
  </si>
  <si>
    <t>I. Zysk (strata) przed opodatkowaniem</t>
  </si>
  <si>
    <t>3. Z aktywów finansowych</t>
  </si>
  <si>
    <t>udział w zyskach (stratach) netto jednostek wycenianych metodą praw własności</t>
  </si>
  <si>
    <t>za okres 01.01.2014 - 31.03.2014</t>
  </si>
  <si>
    <t>za okres 01.01.2013 - 31.03.2013</t>
  </si>
  <si>
    <t>stan na 31.03.2014 r.</t>
  </si>
  <si>
    <t>stan na 31.03.2013 r.</t>
  </si>
  <si>
    <t>trzy miesiące zakończone - 31.03.2013 r.</t>
  </si>
  <si>
    <t>trzy miesiące zakończone - 31.03.2014 r.</t>
  </si>
  <si>
    <t>Kapitał własny na dzień  01.01.2013 r.</t>
  </si>
  <si>
    <t>Kapitał własny na dzień  01.01.2014 r.</t>
  </si>
  <si>
    <t>Kapitał własny na dzień  31.03.2014 r.</t>
  </si>
  <si>
    <t>Kapitał własny na dzień  31.03.2013 r.</t>
  </si>
  <si>
    <t>1Q</t>
  </si>
  <si>
    <t>2014 PLN</t>
  </si>
  <si>
    <t>2014 EUR</t>
  </si>
  <si>
    <t>31.03</t>
  </si>
  <si>
    <t>3. Na aktywa finansowe</t>
  </si>
  <si>
    <t>(31.03.)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</si>
</sst>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rgb="FFC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8DB3E2"/>
        <bgColor indexed="64"/>
      </patternFill>
    </fill>
  </fills>
  <borders count="68">
    <border>
      <left/>
      <right/>
      <top/>
      <bottom/>
      <diagonal/>
    </border>
    <border>
      <left style="double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/>
      <top style="double">
        <color rgb="FF808080"/>
      </top>
      <bottom style="thin">
        <color rgb="FF80808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rgb="FF808080"/>
      </right>
      <top style="double">
        <color rgb="FF808080"/>
      </top>
      <bottom style="thin">
        <color rgb="FF808080"/>
      </bottom>
      <diagonal/>
    </border>
    <border>
      <left/>
      <right/>
      <top style="double">
        <color rgb="FF808080"/>
      </top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rgb="FF808080"/>
      </left>
      <right style="medium">
        <color rgb="FF808080"/>
      </right>
      <top style="double">
        <color rgb="FF808080"/>
      </top>
      <bottom/>
      <diagonal/>
    </border>
    <border>
      <left style="double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 style="double">
        <color rgb="FF808080"/>
      </top>
      <bottom/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double">
        <color rgb="FF808080"/>
      </left>
      <right style="medium">
        <color rgb="FF808080"/>
      </right>
      <top/>
      <bottom style="double">
        <color rgb="FF808080"/>
      </bottom>
      <diagonal/>
    </border>
    <border>
      <left/>
      <right style="medium">
        <color rgb="FF808080"/>
      </right>
      <top/>
      <bottom style="double">
        <color rgb="FF808080"/>
      </bottom>
      <diagonal/>
    </border>
    <border>
      <left style="double">
        <color rgb="FF808080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rgb="FF808080"/>
      </left>
      <right style="thin">
        <color theme="1" tint="0.499984740745262"/>
      </right>
      <top style="thin">
        <color theme="1" tint="0.499984740745262"/>
      </top>
      <bottom style="double">
        <color rgb="FF808080"/>
      </bottom>
      <diagonal/>
    </border>
    <border>
      <left style="double">
        <color rgb="FF808080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double">
        <color rgb="FF808080"/>
      </left>
      <right style="thin">
        <color rgb="FF808080"/>
      </right>
      <top style="double">
        <color rgb="FF808080"/>
      </top>
      <bottom/>
      <diagonal/>
    </border>
    <border>
      <left style="thin">
        <color rgb="FF808080"/>
      </left>
      <right style="thin">
        <color rgb="FF808080"/>
      </right>
      <top style="double">
        <color rgb="FF808080"/>
      </top>
      <bottom/>
      <diagonal/>
    </border>
    <border>
      <left style="thin">
        <color rgb="FF808080"/>
      </left>
      <right style="double">
        <color rgb="FF808080"/>
      </right>
      <top style="double">
        <color rgb="FF808080"/>
      </top>
      <bottom/>
      <diagonal/>
    </border>
    <border>
      <left style="double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rgb="FF808080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rgb="FF808080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rgb="FF808080"/>
      </bottom>
      <diagonal/>
    </border>
    <border>
      <left style="thin">
        <color rgb="FF808080"/>
      </left>
      <right style="double">
        <color theme="0" tint="-0.499984740745262"/>
      </right>
      <top/>
      <bottom style="thin">
        <color rgb="FF808080"/>
      </bottom>
      <diagonal/>
    </border>
    <border>
      <left style="thin">
        <color rgb="FF808080"/>
      </left>
      <right style="double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uble">
        <color theme="0" tint="-0.499984740745262"/>
      </bottom>
      <diagonal/>
    </border>
    <border>
      <left style="thin">
        <color rgb="FF808080"/>
      </left>
      <right style="double">
        <color theme="0" tint="-0.499984740745262"/>
      </right>
      <top style="thin">
        <color rgb="FF808080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theme="0" tint="-0.499984740745262"/>
      </right>
      <top style="thin">
        <color rgb="FF808080"/>
      </top>
      <bottom style="double">
        <color rgb="FF808080"/>
      </bottom>
      <diagonal/>
    </border>
    <border>
      <left style="thin">
        <color theme="0" tint="-0.499984740745262"/>
      </left>
      <right style="double">
        <color rgb="FF808080"/>
      </right>
      <top style="thin">
        <color rgb="FF808080"/>
      </top>
      <bottom style="thin">
        <color theme="0" tint="-0.499984740745262"/>
      </bottom>
      <diagonal/>
    </border>
    <border>
      <left/>
      <right style="double">
        <color rgb="FF808080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rgb="FF808080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/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/>
      <top/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1" tint="0.499984740745262"/>
      </right>
      <top style="double">
        <color theme="1" tint="0.499984740745262"/>
      </top>
      <bottom/>
      <diagonal/>
    </border>
    <border>
      <left style="double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double">
        <color theme="1" tint="0.499984740745262"/>
      </right>
      <top/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49" fontId="3" fillId="2" borderId="2" xfId="2" applyNumberFormat="1" applyFont="1" applyFill="1" applyBorder="1" applyAlignment="1">
      <alignment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vertical="center" wrapText="1"/>
    </xf>
    <xf numFmtId="49" fontId="5" fillId="2" borderId="2" xfId="2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justify" wrapText="1"/>
    </xf>
    <xf numFmtId="49" fontId="3" fillId="2" borderId="2" xfId="2" applyNumberFormat="1" applyFont="1" applyFill="1" applyBorder="1" applyAlignment="1">
      <alignment horizontal="left" vertical="center" wrapText="1"/>
    </xf>
    <xf numFmtId="49" fontId="3" fillId="2" borderId="5" xfId="2" applyNumberFormat="1" applyFont="1" applyFill="1" applyBorder="1" applyAlignment="1">
      <alignment horizontal="left" vertical="center" wrapText="1"/>
    </xf>
    <xf numFmtId="49" fontId="3" fillId="3" borderId="2" xfId="2" applyNumberFormat="1" applyFont="1" applyFill="1" applyBorder="1" applyAlignment="1">
      <alignment vertical="center" wrapText="1"/>
    </xf>
    <xf numFmtId="0" fontId="3" fillId="3" borderId="2" xfId="0" applyFont="1" applyFill="1" applyBorder="1"/>
    <xf numFmtId="49" fontId="3" fillId="3" borderId="5" xfId="2" applyNumberFormat="1" applyFont="1" applyFill="1" applyBorder="1" applyAlignment="1">
      <alignment vertical="center"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2" xfId="2" applyFont="1" applyBorder="1"/>
    <xf numFmtId="0" fontId="4" fillId="2" borderId="5" xfId="2" applyFont="1" applyFill="1" applyBorder="1"/>
    <xf numFmtId="4" fontId="4" fillId="0" borderId="2" xfId="0" applyNumberFormat="1" applyFont="1" applyFill="1" applyBorder="1" applyAlignment="1" applyProtection="1">
      <alignment horizontal="left" vertical="center" wrapText="1"/>
    </xf>
    <xf numFmtId="4" fontId="4" fillId="0" borderId="2" xfId="0" applyNumberFormat="1" applyFont="1" applyFill="1" applyBorder="1" applyAlignment="1" applyProtection="1">
      <alignment horizontal="left" vertical="center"/>
    </xf>
    <xf numFmtId="4" fontId="3" fillId="3" borderId="2" xfId="0" applyNumberFormat="1" applyFont="1" applyFill="1" applyBorder="1" applyAlignment="1" applyProtection="1">
      <alignment horizontal="left" vertical="center" wrapText="1"/>
    </xf>
    <xf numFmtId="4" fontId="3" fillId="3" borderId="5" xfId="0" applyNumberFormat="1" applyFont="1" applyFill="1" applyBorder="1" applyAlignment="1" applyProtection="1">
      <alignment horizontal="left" vertical="center" wrapText="1"/>
    </xf>
    <xf numFmtId="0" fontId="8" fillId="3" borderId="19" xfId="0" applyFont="1" applyFill="1" applyBorder="1" applyAlignment="1">
      <alignment horizontal="center" vertical="top"/>
    </xf>
    <xf numFmtId="0" fontId="4" fillId="0" borderId="5" xfId="2" applyFont="1" applyBorder="1"/>
    <xf numFmtId="0" fontId="8" fillId="3" borderId="22" xfId="0" applyFont="1" applyFill="1" applyBorder="1" applyAlignment="1">
      <alignment horizontal="center"/>
    </xf>
    <xf numFmtId="4" fontId="0" fillId="0" borderId="0" xfId="0" applyNumberFormat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11" fillId="0" borderId="0" xfId="0" applyFont="1"/>
    <xf numFmtId="0" fontId="3" fillId="3" borderId="25" xfId="3" applyFont="1" applyFill="1" applyBorder="1" applyAlignment="1">
      <alignment horizontal="left" vertical="center" wrapText="1"/>
    </xf>
    <xf numFmtId="0" fontId="3" fillId="0" borderId="25" xfId="3" applyFont="1" applyFill="1" applyBorder="1" applyAlignment="1">
      <alignment vertical="center" wrapText="1"/>
    </xf>
    <xf numFmtId="0" fontId="4" fillId="0" borderId="25" xfId="3" applyFont="1" applyFill="1" applyBorder="1" applyAlignment="1">
      <alignment horizontal="left" vertical="center" wrapText="1" indent="4"/>
    </xf>
    <xf numFmtId="0" fontId="3" fillId="3" borderId="25" xfId="3" applyFont="1" applyFill="1" applyBorder="1" applyAlignment="1">
      <alignment vertical="center" wrapText="1"/>
    </xf>
    <xf numFmtId="0" fontId="4" fillId="0" borderId="25" xfId="3" applyFont="1" applyFill="1" applyBorder="1" applyAlignment="1">
      <alignment horizontal="left" vertical="center" wrapText="1" indent="8"/>
    </xf>
    <xf numFmtId="0" fontId="4" fillId="0" borderId="27" xfId="3" applyFont="1" applyFill="1" applyBorder="1" applyAlignment="1">
      <alignment horizontal="left" vertical="center" wrapText="1" indent="8"/>
    </xf>
    <xf numFmtId="0" fontId="0" fillId="0" borderId="0" xfId="0" applyFill="1"/>
    <xf numFmtId="49" fontId="3" fillId="0" borderId="11" xfId="2" applyNumberFormat="1" applyFont="1" applyFill="1" applyBorder="1" applyAlignment="1">
      <alignment horizontal="left" vertical="center" wrapText="1"/>
    </xf>
    <xf numFmtId="0" fontId="3" fillId="3" borderId="28" xfId="3" applyFont="1" applyFill="1" applyBorder="1" applyAlignment="1">
      <alignment horizontal="left" vertical="center" wrapText="1"/>
    </xf>
    <xf numFmtId="4" fontId="4" fillId="0" borderId="4" xfId="2" applyNumberFormat="1" applyFont="1" applyFill="1" applyBorder="1" applyAlignment="1">
      <alignment horizontal="right" vertical="center" wrapText="1"/>
    </xf>
    <xf numFmtId="4" fontId="5" fillId="2" borderId="10" xfId="2" applyNumberFormat="1" applyFont="1" applyFill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right"/>
    </xf>
    <xf numFmtId="4" fontId="4" fillId="0" borderId="3" xfId="2" applyNumberFormat="1" applyFont="1" applyFill="1" applyBorder="1" applyAlignment="1">
      <alignment horizontal="right" vertical="center" wrapText="1"/>
    </xf>
    <xf numFmtId="0" fontId="12" fillId="0" borderId="0" xfId="0" applyFont="1"/>
    <xf numFmtId="4" fontId="3" fillId="3" borderId="4" xfId="2" applyNumberFormat="1" applyFont="1" applyFill="1" applyBorder="1" applyAlignment="1">
      <alignment horizontal="right" vertical="center" wrapText="1"/>
    </xf>
    <xf numFmtId="4" fontId="3" fillId="3" borderId="7" xfId="2" applyNumberFormat="1" applyFont="1" applyFill="1" applyBorder="1" applyAlignment="1">
      <alignment horizontal="right" vertical="center" wrapText="1"/>
    </xf>
    <xf numFmtId="4" fontId="3" fillId="3" borderId="4" xfId="2" applyNumberFormat="1" applyFont="1" applyFill="1" applyBorder="1" applyAlignment="1">
      <alignment vertical="center" wrapText="1"/>
    </xf>
    <xf numFmtId="4" fontId="4" fillId="0" borderId="4" xfId="2" applyNumberFormat="1" applyFont="1" applyFill="1" applyBorder="1" applyAlignment="1">
      <alignment vertical="center" wrapText="1"/>
    </xf>
    <xf numFmtId="4" fontId="4" fillId="0" borderId="7" xfId="2" applyNumberFormat="1" applyFont="1" applyBorder="1"/>
    <xf numFmtId="4" fontId="12" fillId="0" borderId="0" xfId="0" applyNumberFormat="1" applyFont="1"/>
    <xf numFmtId="4" fontId="3" fillId="3" borderId="3" xfId="0" applyNumberFormat="1" applyFont="1" applyFill="1" applyBorder="1" applyAlignment="1" applyProtection="1">
      <alignment horizontal="right" vertical="center"/>
    </xf>
    <xf numFmtId="4" fontId="3" fillId="3" borderId="4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" fontId="3" fillId="3" borderId="6" xfId="0" applyNumberFormat="1" applyFont="1" applyFill="1" applyBorder="1" applyAlignment="1" applyProtection="1">
      <alignment horizontal="right" vertical="center"/>
    </xf>
    <xf numFmtId="4" fontId="3" fillId="3" borderId="7" xfId="0" applyNumberFormat="1" applyFont="1" applyFill="1" applyBorder="1" applyAlignment="1" applyProtection="1">
      <alignment horizontal="right" vertical="center"/>
    </xf>
    <xf numFmtId="43" fontId="3" fillId="3" borderId="28" xfId="4" applyFont="1" applyFill="1" applyBorder="1" applyAlignment="1">
      <alignment horizontal="left" vertical="center" wrapText="1"/>
    </xf>
    <xf numFmtId="4" fontId="7" fillId="0" borderId="18" xfId="0" applyNumberFormat="1" applyFont="1" applyFill="1" applyBorder="1" applyAlignment="1">
      <alignment horizontal="right" vertical="center"/>
    </xf>
    <xf numFmtId="4" fontId="7" fillId="4" borderId="18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4" fontId="7" fillId="4" borderId="21" xfId="0" applyNumberFormat="1" applyFont="1" applyFill="1" applyBorder="1" applyAlignment="1">
      <alignment horizontal="right" vertical="center"/>
    </xf>
    <xf numFmtId="4" fontId="7" fillId="4" borderId="18" xfId="0" applyNumberFormat="1" applyFont="1" applyFill="1" applyBorder="1" applyAlignment="1">
      <alignment horizontal="right"/>
    </xf>
    <xf numFmtId="4" fontId="7" fillId="0" borderId="18" xfId="0" applyNumberFormat="1" applyFont="1" applyFill="1" applyBorder="1" applyAlignment="1">
      <alignment horizontal="right"/>
    </xf>
    <xf numFmtId="4" fontId="3" fillId="2" borderId="8" xfId="2" applyNumberFormat="1" applyFont="1" applyFill="1" applyBorder="1" applyAlignment="1">
      <alignment horizontal="right" vertical="center" wrapText="1"/>
    </xf>
    <xf numFmtId="4" fontId="3" fillId="2" borderId="3" xfId="2" applyNumberFormat="1" applyFont="1" applyFill="1" applyBorder="1" applyAlignment="1">
      <alignment horizontal="right" vertical="center" wrapText="1"/>
    </xf>
    <xf numFmtId="4" fontId="4" fillId="0" borderId="10" xfId="2" applyNumberFormat="1" applyFont="1" applyFill="1" applyBorder="1" applyAlignment="1">
      <alignment horizontal="right" vertical="center" wrapText="1"/>
    </xf>
    <xf numFmtId="4" fontId="3" fillId="5" borderId="3" xfId="2" applyNumberFormat="1" applyFont="1" applyFill="1" applyBorder="1" applyAlignment="1">
      <alignment horizontal="right" vertical="center" wrapText="1"/>
    </xf>
    <xf numFmtId="4" fontId="5" fillId="2" borderId="6" xfId="2" applyNumberFormat="1" applyFont="1" applyFill="1" applyBorder="1" applyAlignment="1">
      <alignment horizontal="right" vertical="center" wrapText="1"/>
    </xf>
    <xf numFmtId="4" fontId="3" fillId="3" borderId="3" xfId="2" applyNumberFormat="1" applyFont="1" applyFill="1" applyBorder="1" applyAlignment="1">
      <alignment horizontal="right" vertical="center" wrapText="1"/>
    </xf>
    <xf numFmtId="4" fontId="3" fillId="3" borderId="6" xfId="2" applyNumberFormat="1" applyFont="1" applyFill="1" applyBorder="1" applyAlignment="1">
      <alignment horizontal="right" vertical="center" wrapText="1"/>
    </xf>
    <xf numFmtId="4" fontId="3" fillId="3" borderId="3" xfId="2" applyNumberFormat="1" applyFont="1" applyFill="1" applyBorder="1" applyAlignment="1">
      <alignment vertical="center" wrapText="1"/>
    </xf>
    <xf numFmtId="4" fontId="4" fillId="0" borderId="3" xfId="2" applyNumberFormat="1" applyFont="1" applyFill="1" applyBorder="1" applyAlignment="1">
      <alignment vertical="center" wrapText="1"/>
    </xf>
    <xf numFmtId="4" fontId="4" fillId="0" borderId="6" xfId="2" applyNumberFormat="1" applyFont="1" applyBorder="1"/>
    <xf numFmtId="0" fontId="11" fillId="0" borderId="24" xfId="0" applyFont="1" applyFill="1" applyBorder="1"/>
    <xf numFmtId="0" fontId="3" fillId="6" borderId="15" xfId="2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justify" vertical="center"/>
    </xf>
    <xf numFmtId="0" fontId="6" fillId="0" borderId="36" xfId="0" applyFont="1" applyFill="1" applyBorder="1" applyAlignment="1">
      <alignment horizontal="justify" vertical="center"/>
    </xf>
    <xf numFmtId="0" fontId="6" fillId="4" borderId="36" xfId="0" applyFont="1" applyFill="1" applyBorder="1" applyAlignment="1">
      <alignment horizontal="justify"/>
    </xf>
    <xf numFmtId="0" fontId="6" fillId="4" borderId="37" xfId="0" applyFont="1" applyFill="1" applyBorder="1" applyAlignment="1">
      <alignment horizontal="justify" vertical="center"/>
    </xf>
    <xf numFmtId="0" fontId="6" fillId="4" borderId="38" xfId="0" applyFont="1" applyFill="1" applyBorder="1" applyAlignment="1">
      <alignment horizontal="justify" vertical="center"/>
    </xf>
    <xf numFmtId="0" fontId="13" fillId="7" borderId="40" xfId="0" applyFont="1" applyFill="1" applyBorder="1" applyAlignment="1">
      <alignment horizontal="center" vertical="center"/>
    </xf>
    <xf numFmtId="0" fontId="13" fillId="7" borderId="41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10" fontId="7" fillId="4" borderId="43" xfId="0" applyNumberFormat="1" applyFont="1" applyFill="1" applyBorder="1" applyAlignment="1">
      <alignment horizontal="center" vertical="center"/>
    </xf>
    <xf numFmtId="10" fontId="7" fillId="0" borderId="18" xfId="0" applyNumberFormat="1" applyFont="1" applyFill="1" applyBorder="1" applyAlignment="1">
      <alignment horizontal="center" vertical="center"/>
    </xf>
    <xf numFmtId="10" fontId="7" fillId="0" borderId="45" xfId="0" applyNumberFormat="1" applyFont="1" applyFill="1" applyBorder="1" applyAlignment="1">
      <alignment horizontal="center" vertical="center"/>
    </xf>
    <xf numFmtId="10" fontId="7" fillId="4" borderId="44" xfId="0" applyNumberFormat="1" applyFont="1" applyFill="1" applyBorder="1" applyAlignment="1">
      <alignment horizontal="center" vertical="center"/>
    </xf>
    <xf numFmtId="10" fontId="7" fillId="4" borderId="46" xfId="0" applyNumberFormat="1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 wrapText="1"/>
    </xf>
    <xf numFmtId="0" fontId="3" fillId="6" borderId="26" xfId="2" applyFont="1" applyFill="1" applyBorder="1" applyAlignment="1">
      <alignment horizontal="center" vertical="center" wrapText="1"/>
    </xf>
    <xf numFmtId="4" fontId="3" fillId="2" borderId="47" xfId="2" applyNumberFormat="1" applyFont="1" applyFill="1" applyBorder="1" applyAlignment="1">
      <alignment horizontal="right" vertical="center" wrapText="1"/>
    </xf>
    <xf numFmtId="4" fontId="4" fillId="0" borderId="48" xfId="2" applyNumberFormat="1" applyFont="1" applyFill="1" applyBorder="1" applyAlignment="1">
      <alignment horizontal="right" vertical="center" wrapText="1"/>
    </xf>
    <xf numFmtId="4" fontId="3" fillId="2" borderId="48" xfId="2" applyNumberFormat="1" applyFont="1" applyFill="1" applyBorder="1" applyAlignment="1">
      <alignment horizontal="right" vertical="center" wrapText="1"/>
    </xf>
    <xf numFmtId="4" fontId="3" fillId="5" borderId="48" xfId="2" applyNumberFormat="1" applyFont="1" applyFill="1" applyBorder="1" applyAlignment="1">
      <alignment horizontal="right" vertical="center" wrapText="1"/>
    </xf>
    <xf numFmtId="4" fontId="3" fillId="2" borderId="49" xfId="2" applyNumberFormat="1" applyFont="1" applyFill="1" applyBorder="1" applyAlignment="1" applyProtection="1">
      <alignment horizontal="right" vertical="center" wrapText="1"/>
      <protection locked="0"/>
    </xf>
    <xf numFmtId="4" fontId="3" fillId="2" borderId="50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2" applyFont="1" applyFill="1" applyBorder="1" applyAlignment="1">
      <alignment horizontal="center" vertical="center" wrapText="1"/>
    </xf>
    <xf numFmtId="4" fontId="5" fillId="2" borderId="51" xfId="2" applyNumberFormat="1" applyFont="1" applyFill="1" applyBorder="1" applyAlignment="1">
      <alignment horizontal="right" vertical="center" wrapText="1"/>
    </xf>
    <xf numFmtId="4" fontId="4" fillId="0" borderId="51" xfId="2" applyNumberFormat="1" applyFont="1" applyBorder="1" applyAlignment="1">
      <alignment horizontal="right"/>
    </xf>
    <xf numFmtId="4" fontId="5" fillId="2" borderId="52" xfId="2" applyNumberFormat="1" applyFont="1" applyFill="1" applyBorder="1" applyAlignment="1">
      <alignment horizontal="right" vertical="center" wrapText="1"/>
    </xf>
    <xf numFmtId="0" fontId="3" fillId="6" borderId="1" xfId="2" applyFont="1" applyFill="1" applyBorder="1" applyAlignment="1">
      <alignment horizontal="center" vertical="center" wrapText="1"/>
    </xf>
    <xf numFmtId="0" fontId="3" fillId="6" borderId="8" xfId="2" applyFont="1" applyFill="1" applyBorder="1" applyAlignment="1">
      <alignment horizontal="center" vertical="center" wrapText="1"/>
    </xf>
    <xf numFmtId="0" fontId="3" fillId="6" borderId="9" xfId="2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8" xfId="2" applyNumberFormat="1" applyFont="1" applyFill="1" applyBorder="1" applyAlignment="1">
      <alignment horizontal="center" vertical="center" wrapText="1"/>
    </xf>
    <xf numFmtId="49" fontId="3" fillId="6" borderId="9" xfId="2" applyNumberFormat="1" applyFont="1" applyFill="1" applyBorder="1" applyAlignment="1">
      <alignment horizontal="center" vertical="center" wrapText="1"/>
    </xf>
    <xf numFmtId="0" fontId="3" fillId="6" borderId="23" xfId="2" applyFont="1" applyFill="1" applyBorder="1" applyAlignment="1">
      <alignment horizontal="center" vertical="center" wrapText="1"/>
    </xf>
    <xf numFmtId="0" fontId="3" fillId="6" borderId="53" xfId="2" applyFont="1" applyFill="1" applyBorder="1" applyAlignment="1">
      <alignment horizontal="center" vertical="center" wrapText="1"/>
    </xf>
    <xf numFmtId="0" fontId="3" fillId="3" borderId="54" xfId="3" applyFont="1" applyFill="1" applyBorder="1" applyAlignment="1">
      <alignment horizontal="left" vertical="center" wrapText="1"/>
    </xf>
    <xf numFmtId="43" fontId="3" fillId="3" borderId="54" xfId="4" applyFont="1" applyFill="1" applyBorder="1" applyAlignment="1">
      <alignment horizontal="left" vertical="center" wrapText="1"/>
    </xf>
    <xf numFmtId="164" fontId="4" fillId="0" borderId="28" xfId="4" applyNumberFormat="1" applyFont="1" applyFill="1" applyBorder="1" applyAlignment="1">
      <alignment vertical="center" wrapText="1"/>
    </xf>
    <xf numFmtId="164" fontId="4" fillId="0" borderId="28" xfId="4" applyNumberFormat="1" applyFont="1" applyFill="1" applyBorder="1" applyAlignment="1">
      <alignment horizontal="right" vertical="center" wrapText="1"/>
    </xf>
    <xf numFmtId="164" fontId="4" fillId="0" borderId="54" xfId="4" applyNumberFormat="1" applyFont="1" applyFill="1" applyBorder="1" applyAlignment="1">
      <alignment horizontal="right" vertical="center" wrapText="1"/>
    </xf>
    <xf numFmtId="43" fontId="3" fillId="0" borderId="28" xfId="4" applyFont="1" applyFill="1" applyBorder="1" applyAlignment="1">
      <alignment horizontal="right" vertical="center" wrapText="1"/>
    </xf>
    <xf numFmtId="43" fontId="3" fillId="0" borderId="54" xfId="4" applyFont="1" applyFill="1" applyBorder="1" applyAlignment="1">
      <alignment horizontal="right" vertical="center" wrapText="1"/>
    </xf>
    <xf numFmtId="43" fontId="4" fillId="0" borderId="28" xfId="4" applyFont="1" applyFill="1" applyBorder="1" applyAlignment="1">
      <alignment horizontal="right" vertical="center" wrapText="1"/>
    </xf>
    <xf numFmtId="43" fontId="4" fillId="0" borderId="54" xfId="4" applyFont="1" applyFill="1" applyBorder="1" applyAlignment="1">
      <alignment horizontal="right" vertical="center" wrapText="1"/>
    </xf>
    <xf numFmtId="164" fontId="4" fillId="0" borderId="54" xfId="4" applyNumberFormat="1" applyFont="1" applyFill="1" applyBorder="1" applyAlignment="1">
      <alignment vertical="center" wrapText="1"/>
    </xf>
    <xf numFmtId="43" fontId="3" fillId="3" borderId="28" xfId="4" applyFont="1" applyFill="1" applyBorder="1" applyAlignment="1">
      <alignment horizontal="right" vertical="center" wrapText="1"/>
    </xf>
    <xf numFmtId="43" fontId="3" fillId="3" borderId="54" xfId="4" applyFont="1" applyFill="1" applyBorder="1" applyAlignment="1">
      <alignment horizontal="right" vertical="center" wrapText="1"/>
    </xf>
    <xf numFmtId="164" fontId="3" fillId="0" borderId="28" xfId="4" applyNumberFormat="1" applyFont="1" applyFill="1" applyBorder="1" applyAlignment="1">
      <alignment vertical="center" wrapText="1"/>
    </xf>
    <xf numFmtId="164" fontId="3" fillId="0" borderId="54" xfId="4" applyNumberFormat="1" applyFont="1" applyFill="1" applyBorder="1" applyAlignment="1">
      <alignment vertical="center" wrapText="1"/>
    </xf>
    <xf numFmtId="164" fontId="3" fillId="0" borderId="28" xfId="4" applyNumberFormat="1" applyFont="1" applyFill="1" applyBorder="1" applyAlignment="1">
      <alignment horizontal="right" vertical="center" wrapText="1"/>
    </xf>
    <xf numFmtId="164" fontId="3" fillId="0" borderId="54" xfId="4" applyNumberFormat="1" applyFont="1" applyFill="1" applyBorder="1" applyAlignment="1">
      <alignment horizontal="right" vertical="center" wrapText="1"/>
    </xf>
    <xf numFmtId="164" fontId="3" fillId="3" borderId="28" xfId="4" applyNumberFormat="1" applyFont="1" applyFill="1" applyBorder="1" applyAlignment="1">
      <alignment vertical="center" wrapText="1"/>
    </xf>
    <xf numFmtId="164" fontId="3" fillId="3" borderId="54" xfId="4" applyNumberFormat="1" applyFont="1" applyFill="1" applyBorder="1" applyAlignment="1">
      <alignment vertical="center" wrapText="1"/>
    </xf>
    <xf numFmtId="164" fontId="4" fillId="0" borderId="29" xfId="4" applyNumberFormat="1" applyFont="1" applyFill="1" applyBorder="1" applyAlignment="1">
      <alignment vertical="center" wrapText="1"/>
    </xf>
    <xf numFmtId="164" fontId="4" fillId="0" borderId="55" xfId="4" applyNumberFormat="1" applyFont="1" applyFill="1" applyBorder="1" applyAlignment="1">
      <alignment vertical="center" wrapText="1"/>
    </xf>
    <xf numFmtId="164" fontId="3" fillId="3" borderId="15" xfId="4" applyNumberFormat="1" applyFont="1" applyFill="1" applyBorder="1" applyAlignment="1">
      <alignment horizontal="right" vertical="center"/>
    </xf>
    <xf numFmtId="164" fontId="3" fillId="3" borderId="54" xfId="4" applyNumberFormat="1" applyFont="1" applyFill="1" applyBorder="1" applyAlignment="1">
      <alignment horizontal="right" vertical="center"/>
    </xf>
    <xf numFmtId="164" fontId="3" fillId="3" borderId="54" xfId="4" applyNumberFormat="1" applyFont="1" applyFill="1" applyBorder="1" applyAlignment="1">
      <alignment horizontal="right" vertical="center" wrapText="1"/>
    </xf>
    <xf numFmtId="164" fontId="3" fillId="3" borderId="28" xfId="4" applyNumberFormat="1" applyFont="1" applyFill="1" applyBorder="1" applyAlignment="1">
      <alignment horizontal="right" vertical="center" wrapText="1"/>
    </xf>
    <xf numFmtId="0" fontId="13" fillId="2" borderId="32" xfId="0" applyFont="1" applyFill="1" applyBorder="1" applyAlignment="1">
      <alignment horizontal="center" vertical="center"/>
    </xf>
    <xf numFmtId="0" fontId="13" fillId="8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8" borderId="33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8" fillId="3" borderId="56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left" vertical="center"/>
    </xf>
    <xf numFmtId="2" fontId="7" fillId="0" borderId="45" xfId="1" applyNumberFormat="1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left" vertical="center"/>
    </xf>
    <xf numFmtId="2" fontId="7" fillId="4" borderId="45" xfId="1" applyNumberFormat="1" applyFont="1" applyFill="1" applyBorder="1" applyAlignment="1">
      <alignment horizontal="center" vertical="center"/>
    </xf>
    <xf numFmtId="4" fontId="7" fillId="4" borderId="45" xfId="0" applyNumberFormat="1" applyFont="1" applyFill="1" applyBorder="1" applyAlignment="1">
      <alignment horizontal="center" wrapText="1"/>
    </xf>
    <xf numFmtId="4" fontId="7" fillId="5" borderId="45" xfId="0" applyNumberFormat="1" applyFont="1" applyFill="1" applyBorder="1" applyAlignment="1">
      <alignment horizontal="center" wrapText="1"/>
    </xf>
    <xf numFmtId="4" fontId="7" fillId="0" borderId="45" xfId="0" applyNumberFormat="1" applyFont="1" applyFill="1" applyBorder="1" applyAlignment="1">
      <alignment horizontal="center" wrapText="1"/>
    </xf>
    <xf numFmtId="0" fontId="6" fillId="4" borderId="61" xfId="0" applyFont="1" applyFill="1" applyBorder="1" applyAlignment="1">
      <alignment horizontal="left" vertical="center"/>
    </xf>
    <xf numFmtId="4" fontId="7" fillId="4" borderId="62" xfId="0" applyNumberFormat="1" applyFont="1" applyFill="1" applyBorder="1" applyAlignment="1">
      <alignment horizontal="right"/>
    </xf>
    <xf numFmtId="4" fontId="7" fillId="4" borderId="63" xfId="0" applyNumberFormat="1" applyFont="1" applyFill="1" applyBorder="1" applyAlignment="1">
      <alignment horizontal="center" wrapText="1"/>
    </xf>
    <xf numFmtId="0" fontId="8" fillId="3" borderId="64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top"/>
    </xf>
    <xf numFmtId="0" fontId="6" fillId="0" borderId="65" xfId="0" applyFont="1" applyFill="1" applyBorder="1" applyAlignment="1">
      <alignment horizontal="left" vertical="center"/>
    </xf>
    <xf numFmtId="10" fontId="7" fillId="0" borderId="4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66" xfId="0" applyFont="1" applyFill="1" applyBorder="1" applyAlignment="1">
      <alignment horizontal="justify"/>
    </xf>
    <xf numFmtId="0" fontId="6" fillId="0" borderId="67" xfId="0" applyFont="1" applyFill="1" applyBorder="1" applyAlignment="1">
      <alignment horizontal="justify"/>
    </xf>
    <xf numFmtId="0" fontId="8" fillId="6" borderId="57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left"/>
    </xf>
    <xf numFmtId="0" fontId="6" fillId="0" borderId="58" xfId="0" applyFont="1" applyFill="1" applyBorder="1" applyAlignment="1">
      <alignment horizontal="left"/>
    </xf>
    <xf numFmtId="0" fontId="13" fillId="0" borderId="39" xfId="0" applyFont="1" applyBorder="1" applyAlignment="1">
      <alignment horizontal="justify" vertical="center"/>
    </xf>
    <xf numFmtId="0" fontId="13" fillId="0" borderId="42" xfId="0" applyFont="1" applyBorder="1" applyAlignment="1">
      <alignment horizontal="justify" vertical="center"/>
    </xf>
  </cellXfs>
  <cellStyles count="5">
    <cellStyle name="Dziesiętny" xfId="4" builtinId="3"/>
    <cellStyle name="Normalny" xfId="0" builtinId="0"/>
    <cellStyle name="Normalny_bilans_przekształceń" xfId="2"/>
    <cellStyle name="Normalny_Skonsolidowane sprawozdanie finansowe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0</xdr:rowOff>
    </xdr:from>
    <xdr:to>
      <xdr:col>12</xdr:col>
      <xdr:colOff>75009</xdr:colOff>
      <xdr:row>38</xdr:row>
      <xdr:rowOff>24606</xdr:rowOff>
    </xdr:to>
    <xdr:sp macro="" textlink="">
      <xdr:nvSpPr>
        <xdr:cNvPr id="2" name="pole tekstowe 1"/>
        <xdr:cNvSpPr txBox="1"/>
      </xdr:nvSpPr>
      <xdr:spPr>
        <a:xfrm>
          <a:off x="7124700" y="190500"/>
          <a:ext cx="4332684" cy="70731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Objaśnienia:</a:t>
          </a:r>
        </a:p>
        <a:p>
          <a:endParaRPr lang="pl-PL" sz="1100"/>
        </a:p>
        <a:p>
          <a:r>
            <a:rPr lang="pl-PL" sz="1100" b="1"/>
            <a:t>1.</a:t>
          </a:r>
          <a:r>
            <a:rPr lang="pl-PL" sz="1100" b="1" baseline="0"/>
            <a:t> Wskaźnik rentowności operacyjnej</a:t>
          </a:r>
        </a:p>
        <a:p>
          <a:r>
            <a:rPr lang="pl-PL" sz="1100" u="sng" baseline="0"/>
            <a:t>Formuła:</a:t>
          </a:r>
          <a:r>
            <a:rPr lang="pl-PL" sz="1100" baseline="0"/>
            <a:t> wynik na działalności operacyjnej / przychody ze sprzedaży</a:t>
          </a:r>
        </a:p>
        <a:p>
          <a:r>
            <a:rPr lang="pl-PL" sz="1100" u="sng" baseline="0"/>
            <a:t>Opis: </a:t>
          </a:r>
          <a:r>
            <a:rPr lang="pl-PL"/>
            <a:t>określa, ile zysku netto (po opodatkowaniu) przypada na 1 złoty przychodów firmy</a:t>
          </a:r>
          <a:endParaRPr lang="pl-PL" sz="1100" baseline="0"/>
        </a:p>
        <a:p>
          <a:endParaRPr lang="pl-PL" sz="1100" baseline="0"/>
        </a:p>
        <a:p>
          <a:r>
            <a:rPr lang="pl-PL" sz="1100" b="1" baseline="0"/>
            <a:t>2. Wskaźnik rentowności EBITDA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(wynika na działalności operacyjnej+amortyzacja)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 </a:t>
          </a:r>
          <a:r>
            <a:rPr lang="pl-PL"/>
            <a:t>mierzy efektywność konwersji przychodów na zysk z działalności ciągłej przed odsetkami od zaciągniętych kredytów, podatkami, deprecjacją i amortyzacją oraz przed pozycjami wyjątkowymi. </a:t>
          </a:r>
        </a:p>
        <a:p>
          <a:endParaRPr lang="pl-PL" sz="1100"/>
        </a:p>
        <a:p>
          <a:r>
            <a:rPr lang="pl-PL" sz="1100" b="1"/>
            <a:t>3. Wskaźnik</a:t>
          </a:r>
          <a:r>
            <a:rPr lang="pl-PL" sz="1100" b="1" baseline="0"/>
            <a:t> rentowności netto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Wynik netto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/>
            <a:t>informuje inwestorów ile procent przychodów ze sprzedaży stanowi zysk netto</a:t>
          </a:r>
        </a:p>
        <a:p>
          <a:endParaRPr lang="pl-PL" sz="1100"/>
        </a:p>
        <a:p>
          <a:r>
            <a:rPr lang="pl-PL" sz="1100" b="1"/>
            <a:t>4. Wskaśnik rentowności kapitału własnego</a:t>
          </a:r>
          <a:r>
            <a:rPr lang="pl-PL" sz="1100" b="1" baseline="0"/>
            <a:t> (ROE)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Kapitał własny, gdzie: Kapitał własny = Aktywa ogółem - Zobowiązania (krótko i długoterminowe)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określa stopę zyskowności zainwestowanych w firmie kapitałów własnych</a:t>
          </a:r>
        </a:p>
        <a:p>
          <a:endParaRPr lang="pl-PL" sz="1100"/>
        </a:p>
        <a:p>
          <a:r>
            <a:rPr lang="pl-PL" sz="1100" b="1"/>
            <a:t>5. Wskaźnik</a:t>
          </a:r>
          <a:r>
            <a:rPr lang="pl-PL" sz="1100" b="1" baseline="0"/>
            <a:t> rentowności majątku (ROA)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aktywa  ogółem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 b="0"/>
            <a:t>informuje o tym jaka jest rentowność wszystkich aktywów firmy w stosunku do wypracowanych przez nią zysków,</a:t>
          </a:r>
          <a:r>
            <a:rPr lang="pl-PL" b="0" baseline="0"/>
            <a:t> </a:t>
          </a:r>
          <a:r>
            <a:rPr lang="pl-PL" b="0"/>
            <a:t>czy innymi</a:t>
          </a:r>
          <a:r>
            <a:rPr lang="pl-PL" b="0" baseline="0"/>
            <a:t> słowy ile zysku netto  przynosi każda złotówka zaangażowana w finansowanie majątku</a:t>
          </a:r>
          <a:endParaRPr lang="pl-PL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/>
        </a:p>
        <a:p>
          <a:r>
            <a:rPr lang="pl-PL" sz="1100" b="1"/>
            <a:t>6. Wskaźnik ogólnej płynności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aktywa obrotowe / zobowiązania krótkoterminowe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/>
            <a:t>informuje o zdolności przedsiębiorstwa do regulowania zobowiązań w oparciu o wszystkie aktywa obrotowe</a:t>
          </a:r>
        </a:p>
        <a:p>
          <a:endParaRPr lang="pl-PL" sz="1100"/>
        </a:p>
        <a:p>
          <a:r>
            <a:rPr lang="pl-PL" sz="1100" b="1"/>
            <a:t>7. Wskaźnik ogólnego</a:t>
          </a:r>
          <a:r>
            <a:rPr lang="pl-PL" sz="1100" b="1" baseline="0"/>
            <a:t> zadłużenia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zobowiązania ogółem / aktywa rezem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mówi o tym jaki udział w finansowaniu majątku firmy mają zobowiązania i dług</a:t>
          </a:r>
        </a:p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abSelected="1" workbookViewId="0">
      <selection activeCell="B1" sqref="B1"/>
    </sheetView>
  </sheetViews>
  <sheetFormatPr defaultRowHeight="15" x14ac:dyDescent="0.25"/>
  <cols>
    <col min="1" max="1" width="4.140625" customWidth="1"/>
    <col min="2" max="2" width="52.28515625" customWidth="1"/>
    <col min="3" max="3" width="12.5703125" style="40" customWidth="1"/>
    <col min="4" max="4" width="12.5703125" customWidth="1"/>
    <col min="6" max="6" width="3.85546875" customWidth="1"/>
  </cols>
  <sheetData>
    <row r="1" spans="2:4" ht="15.75" thickBot="1" x14ac:dyDescent="0.3"/>
    <row r="2" spans="2:4" ht="16.5" thickTop="1" thickBot="1" x14ac:dyDescent="0.3">
      <c r="C2" s="153" t="s">
        <v>28</v>
      </c>
      <c r="D2" s="154"/>
    </row>
    <row r="3" spans="2:4" ht="34.5" thickTop="1" x14ac:dyDescent="0.25">
      <c r="B3" s="86"/>
      <c r="C3" s="71" t="s">
        <v>160</v>
      </c>
      <c r="D3" s="87" t="s">
        <v>161</v>
      </c>
    </row>
    <row r="4" spans="2:4" x14ac:dyDescent="0.25">
      <c r="B4" s="1" t="s">
        <v>0</v>
      </c>
      <c r="C4" s="60">
        <f>C5+C6</f>
        <v>105</v>
      </c>
      <c r="D4" s="88">
        <f>D6+D5</f>
        <v>110.11</v>
      </c>
    </row>
    <row r="5" spans="2:4" x14ac:dyDescent="0.25">
      <c r="B5" s="2" t="s">
        <v>1</v>
      </c>
      <c r="C5" s="39">
        <v>105</v>
      </c>
      <c r="D5" s="89">
        <v>110.11</v>
      </c>
    </row>
    <row r="6" spans="2:4" x14ac:dyDescent="0.25">
      <c r="B6" s="2" t="s">
        <v>2</v>
      </c>
      <c r="C6" s="39">
        <v>0</v>
      </c>
      <c r="D6" s="89">
        <v>0</v>
      </c>
    </row>
    <row r="7" spans="2:4" x14ac:dyDescent="0.25">
      <c r="B7" s="1" t="s">
        <v>3</v>
      </c>
      <c r="C7" s="60">
        <f>C8+C9</f>
        <v>0</v>
      </c>
      <c r="D7" s="88">
        <f>D9+D8</f>
        <v>1.25</v>
      </c>
    </row>
    <row r="8" spans="2:4" x14ac:dyDescent="0.25">
      <c r="B8" s="2" t="s">
        <v>4</v>
      </c>
      <c r="C8" s="39">
        <v>0</v>
      </c>
      <c r="D8" s="89">
        <v>1.25</v>
      </c>
    </row>
    <row r="9" spans="2:4" x14ac:dyDescent="0.25">
      <c r="B9" s="2" t="s">
        <v>5</v>
      </c>
      <c r="C9" s="39">
        <v>0</v>
      </c>
      <c r="D9" s="89">
        <v>0</v>
      </c>
    </row>
    <row r="10" spans="2:4" x14ac:dyDescent="0.25">
      <c r="B10" s="7" t="s">
        <v>6</v>
      </c>
      <c r="C10" s="61">
        <f>C4-C7</f>
        <v>105</v>
      </c>
      <c r="D10" s="90">
        <f t="shared" ref="D10" si="0">D4-D7</f>
        <v>108.86</v>
      </c>
    </row>
    <row r="11" spans="2:4" x14ac:dyDescent="0.25">
      <c r="B11" s="2" t="s">
        <v>7</v>
      </c>
      <c r="C11" s="39">
        <v>0</v>
      </c>
      <c r="D11" s="89">
        <v>0</v>
      </c>
    </row>
    <row r="12" spans="2:4" x14ac:dyDescent="0.25">
      <c r="B12" s="3" t="s">
        <v>8</v>
      </c>
      <c r="C12" s="39">
        <v>0.08</v>
      </c>
      <c r="D12" s="89">
        <v>0</v>
      </c>
    </row>
    <row r="13" spans="2:4" x14ac:dyDescent="0.25">
      <c r="B13" s="3" t="s">
        <v>9</v>
      </c>
      <c r="C13" s="39">
        <v>0</v>
      </c>
      <c r="D13" s="89">
        <v>0</v>
      </c>
    </row>
    <row r="14" spans="2:4" x14ac:dyDescent="0.25">
      <c r="B14" s="3" t="s">
        <v>10</v>
      </c>
      <c r="C14" s="39">
        <v>211.7</v>
      </c>
      <c r="D14" s="89">
        <v>244.5</v>
      </c>
    </row>
    <row r="15" spans="2:4" x14ac:dyDescent="0.25">
      <c r="B15" s="3" t="s">
        <v>11</v>
      </c>
      <c r="C15" s="39">
        <v>0</v>
      </c>
      <c r="D15" s="89">
        <v>0</v>
      </c>
    </row>
    <row r="16" spans="2:4" x14ac:dyDescent="0.25">
      <c r="B16" s="3" t="s">
        <v>12</v>
      </c>
      <c r="C16" s="39">
        <v>0</v>
      </c>
      <c r="D16" s="89">
        <v>0.05</v>
      </c>
    </row>
    <row r="17" spans="2:6" x14ac:dyDescent="0.25">
      <c r="B17" s="7" t="s">
        <v>13</v>
      </c>
      <c r="C17" s="61">
        <f>C10+C11+C12-C13-C14-C15-C16</f>
        <v>-106.61999999999999</v>
      </c>
      <c r="D17" s="90">
        <f t="shared" ref="D17" si="1">D10+D11+D12-D13-D14-D15-D16</f>
        <v>-135.69</v>
      </c>
    </row>
    <row r="18" spans="2:6" x14ac:dyDescent="0.25">
      <c r="B18" s="3" t="s">
        <v>14</v>
      </c>
      <c r="C18" s="39">
        <v>0</v>
      </c>
      <c r="D18" s="89">
        <v>2.9</v>
      </c>
    </row>
    <row r="19" spans="2:6" x14ac:dyDescent="0.25">
      <c r="B19" s="3" t="s">
        <v>15</v>
      </c>
      <c r="C19" s="39">
        <v>0.12</v>
      </c>
      <c r="D19" s="89">
        <v>0</v>
      </c>
    </row>
    <row r="20" spans="2:6" ht="22.5" x14ac:dyDescent="0.25">
      <c r="B20" s="3" t="s">
        <v>16</v>
      </c>
      <c r="C20" s="39">
        <v>0</v>
      </c>
      <c r="D20" s="89">
        <v>0</v>
      </c>
    </row>
    <row r="21" spans="2:6" x14ac:dyDescent="0.25">
      <c r="B21" s="7" t="s">
        <v>17</v>
      </c>
      <c r="C21" s="61">
        <f>C17+C18-C19-C20</f>
        <v>-106.74</v>
      </c>
      <c r="D21" s="90">
        <f t="shared" ref="D21" si="2">D17+D18-D19-D20</f>
        <v>-132.79</v>
      </c>
    </row>
    <row r="22" spans="2:6" x14ac:dyDescent="0.25">
      <c r="B22" s="3" t="s">
        <v>18</v>
      </c>
      <c r="C22" s="39">
        <v>0</v>
      </c>
      <c r="D22" s="89">
        <v>0</v>
      </c>
    </row>
    <row r="23" spans="2:6" x14ac:dyDescent="0.25">
      <c r="B23" s="34" t="s">
        <v>19</v>
      </c>
      <c r="C23" s="62">
        <v>0</v>
      </c>
      <c r="D23" s="89">
        <v>0</v>
      </c>
    </row>
    <row r="24" spans="2:6" x14ac:dyDescent="0.25">
      <c r="B24" s="7" t="s">
        <v>20</v>
      </c>
      <c r="C24" s="61">
        <v>-106.74</v>
      </c>
      <c r="D24" s="90">
        <v>-132.79</v>
      </c>
    </row>
    <row r="25" spans="2:6" x14ac:dyDescent="0.25">
      <c r="B25" s="1" t="s">
        <v>21</v>
      </c>
      <c r="C25" s="61">
        <v>0</v>
      </c>
      <c r="D25" s="90">
        <v>0</v>
      </c>
    </row>
    <row r="26" spans="2:6" x14ac:dyDescent="0.25">
      <c r="B26" s="7" t="s">
        <v>22</v>
      </c>
      <c r="C26" s="61">
        <f>C21</f>
        <v>-106.74</v>
      </c>
      <c r="D26" s="90">
        <f>D24</f>
        <v>-132.79</v>
      </c>
    </row>
    <row r="27" spans="2:6" ht="16.5" customHeight="1" x14ac:dyDescent="0.25">
      <c r="B27" s="34" t="s">
        <v>23</v>
      </c>
      <c r="C27" s="62">
        <f>C26</f>
        <v>-106.74</v>
      </c>
      <c r="D27" s="89">
        <f>D26</f>
        <v>-132.79</v>
      </c>
    </row>
    <row r="28" spans="2:6" x14ac:dyDescent="0.25">
      <c r="B28" s="34" t="s">
        <v>19</v>
      </c>
      <c r="C28" s="62">
        <v>0</v>
      </c>
      <c r="D28" s="89">
        <v>0</v>
      </c>
    </row>
    <row r="29" spans="2:6" x14ac:dyDescent="0.25">
      <c r="B29" s="5" t="s">
        <v>24</v>
      </c>
      <c r="C29" s="61">
        <f>$C$27*1000/7198570</f>
        <v>-1.4827944994630879E-2</v>
      </c>
      <c r="D29" s="90">
        <f>$D$27*1000/7198570</f>
        <v>-1.8446719278967905E-2</v>
      </c>
    </row>
    <row r="30" spans="2:6" x14ac:dyDescent="0.25">
      <c r="B30" s="6" t="s">
        <v>25</v>
      </c>
      <c r="C30" s="63">
        <f t="shared" ref="C30:C34" si="3">$C$27*1000/7198570</f>
        <v>-1.4827944994630879E-2</v>
      </c>
      <c r="D30" s="91">
        <f t="shared" ref="D30:D34" si="4">$D$27*1000/7198570</f>
        <v>-1.8446719278967905E-2</v>
      </c>
    </row>
    <row r="31" spans="2:6" x14ac:dyDescent="0.25">
      <c r="B31" s="6" t="s">
        <v>26</v>
      </c>
      <c r="C31" s="63">
        <f t="shared" si="3"/>
        <v>-1.4827944994630879E-2</v>
      </c>
      <c r="D31" s="91">
        <f t="shared" si="4"/>
        <v>-1.8446719278967905E-2</v>
      </c>
    </row>
    <row r="32" spans="2:6" ht="22.5" x14ac:dyDescent="0.25">
      <c r="B32" s="7" t="s">
        <v>27</v>
      </c>
      <c r="C32" s="61">
        <f t="shared" si="3"/>
        <v>-1.4827944994630879E-2</v>
      </c>
      <c r="D32" s="90">
        <f t="shared" si="4"/>
        <v>-1.8446719278967905E-2</v>
      </c>
      <c r="E32" s="33"/>
      <c r="F32" s="33"/>
    </row>
    <row r="33" spans="2:6" x14ac:dyDescent="0.25">
      <c r="B33" s="2" t="s">
        <v>25</v>
      </c>
      <c r="C33" s="63">
        <f t="shared" si="3"/>
        <v>-1.4827944994630879E-2</v>
      </c>
      <c r="D33" s="91">
        <f t="shared" si="4"/>
        <v>-1.8446719278967905E-2</v>
      </c>
      <c r="E33" s="33"/>
      <c r="F33" s="33"/>
    </row>
    <row r="34" spans="2:6" x14ac:dyDescent="0.25">
      <c r="B34" s="2" t="s">
        <v>26</v>
      </c>
      <c r="C34" s="63">
        <f t="shared" si="3"/>
        <v>-1.4827944994630879E-2</v>
      </c>
      <c r="D34" s="91">
        <f t="shared" si="4"/>
        <v>-1.8446719278967905E-2</v>
      </c>
      <c r="E34" s="33"/>
      <c r="F34" s="33"/>
    </row>
    <row r="35" spans="2:6" ht="23.25" thickBot="1" x14ac:dyDescent="0.3">
      <c r="B35" s="8" t="s">
        <v>159</v>
      </c>
      <c r="C35" s="92">
        <v>0</v>
      </c>
      <c r="D35" s="93">
        <v>0</v>
      </c>
      <c r="E35" s="33"/>
      <c r="F35" s="33"/>
    </row>
    <row r="36" spans="2:6" ht="15.75" thickTop="1" x14ac:dyDescent="0.25"/>
  </sheetData>
  <mergeCells count="1">
    <mergeCell ref="C2:D2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/>
  </sheetViews>
  <sheetFormatPr defaultRowHeight="15" x14ac:dyDescent="0.25"/>
  <cols>
    <col min="2" max="2" width="61.7109375" customWidth="1"/>
    <col min="3" max="4" width="12.5703125" customWidth="1"/>
  </cols>
  <sheetData>
    <row r="1" spans="2:4" ht="15.75" thickBot="1" x14ac:dyDescent="0.3"/>
    <row r="2" spans="2:4" ht="16.5" thickTop="1" thickBot="1" x14ac:dyDescent="0.3">
      <c r="C2" s="153" t="s">
        <v>28</v>
      </c>
      <c r="D2" s="154"/>
    </row>
    <row r="3" spans="2:4" ht="36.75" customHeight="1" thickTop="1" x14ac:dyDescent="0.25">
      <c r="B3" s="94"/>
      <c r="C3" s="71" t="s">
        <v>160</v>
      </c>
      <c r="D3" s="87" t="s">
        <v>161</v>
      </c>
    </row>
    <row r="4" spans="2:4" x14ac:dyDescent="0.25">
      <c r="B4" s="4" t="s">
        <v>22</v>
      </c>
      <c r="C4" s="37">
        <f>'RZiS LUG S.A.'!C26</f>
        <v>-106.74</v>
      </c>
      <c r="D4" s="95">
        <f>'RZiS LUG S.A.'!D26</f>
        <v>-132.79</v>
      </c>
    </row>
    <row r="5" spans="2:4" x14ac:dyDescent="0.25">
      <c r="B5" s="3" t="s">
        <v>76</v>
      </c>
      <c r="C5" s="39">
        <v>0</v>
      </c>
      <c r="D5" s="89">
        <v>0</v>
      </c>
    </row>
    <row r="6" spans="2:4" ht="22.5" x14ac:dyDescent="0.25">
      <c r="B6" s="3" t="s">
        <v>77</v>
      </c>
      <c r="C6" s="39">
        <v>0</v>
      </c>
      <c r="D6" s="89">
        <v>0</v>
      </c>
    </row>
    <row r="7" spans="2:4" ht="22.5" x14ac:dyDescent="0.25">
      <c r="B7" s="3" t="s">
        <v>78</v>
      </c>
      <c r="C7" s="39">
        <v>0</v>
      </c>
      <c r="D7" s="89">
        <v>0</v>
      </c>
    </row>
    <row r="8" spans="2:4" x14ac:dyDescent="0.25">
      <c r="B8" s="3" t="s">
        <v>79</v>
      </c>
      <c r="C8" s="39">
        <v>0</v>
      </c>
      <c r="D8" s="89">
        <v>0</v>
      </c>
    </row>
    <row r="9" spans="2:4" x14ac:dyDescent="0.25">
      <c r="B9" s="3" t="s">
        <v>80</v>
      </c>
      <c r="C9" s="39">
        <v>0</v>
      </c>
      <c r="D9" s="89">
        <v>0</v>
      </c>
    </row>
    <row r="10" spans="2:4" x14ac:dyDescent="0.25">
      <c r="B10" s="3" t="s">
        <v>81</v>
      </c>
      <c r="C10" s="39">
        <v>0</v>
      </c>
      <c r="D10" s="89">
        <v>0</v>
      </c>
    </row>
    <row r="11" spans="2:4" x14ac:dyDescent="0.25">
      <c r="B11" s="4" t="s">
        <v>82</v>
      </c>
      <c r="C11" s="37">
        <f>C4</f>
        <v>-106.74</v>
      </c>
      <c r="D11" s="95">
        <f t="shared" ref="D11" si="0">D4</f>
        <v>-132.79</v>
      </c>
    </row>
    <row r="12" spans="2:4" x14ac:dyDescent="0.25">
      <c r="B12" s="14" t="s">
        <v>83</v>
      </c>
      <c r="C12" s="38">
        <v>0</v>
      </c>
      <c r="D12" s="96">
        <v>0</v>
      </c>
    </row>
    <row r="13" spans="2:4" ht="15.75" thickBot="1" x14ac:dyDescent="0.3">
      <c r="B13" s="15" t="s">
        <v>84</v>
      </c>
      <c r="C13" s="64">
        <f>C11</f>
        <v>-106.74</v>
      </c>
      <c r="D13" s="97">
        <f>D11</f>
        <v>-132.79</v>
      </c>
    </row>
    <row r="14" spans="2:4" ht="15.75" thickTop="1" x14ac:dyDescent="0.25"/>
  </sheetData>
  <mergeCells count="1">
    <mergeCell ref="C2:D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9"/>
  <sheetViews>
    <sheetView zoomScaleNormal="100" workbookViewId="0"/>
  </sheetViews>
  <sheetFormatPr defaultRowHeight="15" x14ac:dyDescent="0.25"/>
  <cols>
    <col min="1" max="1" width="4.42578125" customWidth="1"/>
    <col min="2" max="2" width="55.42578125" customWidth="1"/>
    <col min="3" max="4" width="13.140625" style="40" customWidth="1"/>
    <col min="5" max="5" width="19" customWidth="1"/>
  </cols>
  <sheetData>
    <row r="1" spans="2:5" ht="15.75" thickBot="1" x14ac:dyDescent="0.3"/>
    <row r="2" spans="2:5" ht="16.5" thickTop="1" thickBot="1" x14ac:dyDescent="0.3">
      <c r="C2" s="155" t="s">
        <v>28</v>
      </c>
      <c r="D2" s="156"/>
    </row>
    <row r="3" spans="2:5" ht="25.5" customHeight="1" thickTop="1" x14ac:dyDescent="0.25">
      <c r="B3" s="98" t="s">
        <v>49</v>
      </c>
      <c r="C3" s="99" t="s">
        <v>162</v>
      </c>
      <c r="D3" s="100" t="s">
        <v>163</v>
      </c>
    </row>
    <row r="4" spans="2:5" x14ac:dyDescent="0.25">
      <c r="B4" s="9" t="s">
        <v>29</v>
      </c>
      <c r="C4" s="65">
        <f>SUM(C5:C12)</f>
        <v>31252.199999999997</v>
      </c>
      <c r="D4" s="41">
        <f>SUM(D5:D12)</f>
        <v>30454.47</v>
      </c>
      <c r="E4" s="23"/>
    </row>
    <row r="5" spans="2:5" x14ac:dyDescent="0.25">
      <c r="B5" s="3" t="s">
        <v>30</v>
      </c>
      <c r="C5" s="39">
        <v>44.83</v>
      </c>
      <c r="D5" s="36">
        <f>1136.7-D7</f>
        <v>55.230000000000018</v>
      </c>
    </row>
    <row r="6" spans="2:5" x14ac:dyDescent="0.25">
      <c r="B6" s="3" t="s">
        <v>31</v>
      </c>
      <c r="C6" s="39">
        <v>5.09</v>
      </c>
      <c r="D6" s="36">
        <v>6.3</v>
      </c>
    </row>
    <row r="7" spans="2:5" x14ac:dyDescent="0.25">
      <c r="B7" s="3" t="s">
        <v>32</v>
      </c>
      <c r="C7" s="39">
        <v>1057.6500000000001</v>
      </c>
      <c r="D7" s="36">
        <v>1081.47</v>
      </c>
    </row>
    <row r="8" spans="2:5" x14ac:dyDescent="0.25">
      <c r="B8" s="3" t="s">
        <v>33</v>
      </c>
      <c r="C8" s="39">
        <f>30111.78-534.75</f>
        <v>29577.03</v>
      </c>
      <c r="D8" s="36">
        <v>28745.84</v>
      </c>
    </row>
    <row r="9" spans="2:5" x14ac:dyDescent="0.25">
      <c r="B9" s="3" t="s">
        <v>34</v>
      </c>
      <c r="C9" s="39">
        <v>0</v>
      </c>
      <c r="D9" s="36">
        <v>0</v>
      </c>
    </row>
    <row r="10" spans="2:5" x14ac:dyDescent="0.25">
      <c r="B10" s="3" t="s">
        <v>35</v>
      </c>
      <c r="C10" s="39">
        <v>0</v>
      </c>
      <c r="D10" s="36">
        <v>0</v>
      </c>
    </row>
    <row r="11" spans="2:5" x14ac:dyDescent="0.25">
      <c r="B11" s="3" t="s">
        <v>36</v>
      </c>
      <c r="C11" s="39">
        <v>32.85</v>
      </c>
      <c r="D11" s="36">
        <v>30.88</v>
      </c>
    </row>
    <row r="12" spans="2:5" x14ac:dyDescent="0.25">
      <c r="B12" s="3" t="s">
        <v>37</v>
      </c>
      <c r="C12" s="39">
        <v>534.75</v>
      </c>
      <c r="D12" s="36">
        <v>534.75</v>
      </c>
    </row>
    <row r="13" spans="2:5" x14ac:dyDescent="0.25">
      <c r="B13" s="10" t="s">
        <v>38</v>
      </c>
      <c r="C13" s="65">
        <f>SUM(C14:C22)</f>
        <v>374.90000000000003</v>
      </c>
      <c r="D13" s="41">
        <f>SUM(D14:D22)</f>
        <v>600.13</v>
      </c>
      <c r="E13" s="23"/>
    </row>
    <row r="14" spans="2:5" x14ac:dyDescent="0.25">
      <c r="B14" s="3" t="s">
        <v>39</v>
      </c>
      <c r="C14" s="39">
        <v>0</v>
      </c>
      <c r="D14" s="36">
        <v>0</v>
      </c>
    </row>
    <row r="15" spans="2:5" x14ac:dyDescent="0.25">
      <c r="B15" s="3" t="s">
        <v>40</v>
      </c>
      <c r="C15" s="39">
        <f>270.6+18.29</f>
        <v>288.89000000000004</v>
      </c>
      <c r="D15" s="36">
        <f>195.29+589.19-534.75</f>
        <v>249.73000000000002</v>
      </c>
    </row>
    <row r="16" spans="2:5" x14ac:dyDescent="0.25">
      <c r="B16" s="3" t="s">
        <v>41</v>
      </c>
      <c r="C16" s="39">
        <v>0</v>
      </c>
      <c r="D16" s="36">
        <v>0</v>
      </c>
    </row>
    <row r="17" spans="2:5" x14ac:dyDescent="0.25">
      <c r="B17" s="3" t="s">
        <v>42</v>
      </c>
      <c r="C17" s="39">
        <v>43.89</v>
      </c>
      <c r="D17" s="36">
        <v>67.739999999999995</v>
      </c>
    </row>
    <row r="18" spans="2:5" x14ac:dyDescent="0.25">
      <c r="B18" s="3" t="s">
        <v>43</v>
      </c>
      <c r="C18" s="39">
        <v>0</v>
      </c>
      <c r="D18" s="36">
        <v>0</v>
      </c>
    </row>
    <row r="19" spans="2:5" ht="22.5" x14ac:dyDescent="0.25">
      <c r="B19" s="3" t="s">
        <v>44</v>
      </c>
      <c r="C19" s="39">
        <v>0</v>
      </c>
      <c r="D19" s="36">
        <v>0</v>
      </c>
    </row>
    <row r="20" spans="2:5" x14ac:dyDescent="0.25">
      <c r="B20" s="3" t="s">
        <v>35</v>
      </c>
      <c r="C20" s="39">
        <v>0</v>
      </c>
      <c r="D20" s="36">
        <v>0</v>
      </c>
    </row>
    <row r="21" spans="2:5" x14ac:dyDescent="0.25">
      <c r="B21" s="3" t="s">
        <v>45</v>
      </c>
      <c r="C21" s="39">
        <v>17.77</v>
      </c>
      <c r="D21" s="36">
        <v>253.38</v>
      </c>
    </row>
    <row r="22" spans="2:5" x14ac:dyDescent="0.25">
      <c r="B22" s="3" t="s">
        <v>46</v>
      </c>
      <c r="C22" s="39">
        <v>24.35</v>
      </c>
      <c r="D22" s="36">
        <v>29.28</v>
      </c>
    </row>
    <row r="23" spans="2:5" x14ac:dyDescent="0.25">
      <c r="B23" s="10" t="s">
        <v>47</v>
      </c>
      <c r="C23" s="65">
        <v>0</v>
      </c>
      <c r="D23" s="41">
        <v>0</v>
      </c>
    </row>
    <row r="24" spans="2:5" ht="15.75" thickBot="1" x14ac:dyDescent="0.3">
      <c r="B24" s="11" t="s">
        <v>48</v>
      </c>
      <c r="C24" s="66">
        <f>C4+C13</f>
        <v>31627.1</v>
      </c>
      <c r="D24" s="42">
        <f>D13+D4</f>
        <v>31054.600000000002</v>
      </c>
      <c r="E24" s="23"/>
    </row>
    <row r="25" spans="2:5" ht="16.5" thickTop="1" thickBot="1" x14ac:dyDescent="0.3"/>
    <row r="26" spans="2:5" ht="16.5" thickTop="1" thickBot="1" x14ac:dyDescent="0.3">
      <c r="C26" s="155" t="s">
        <v>28</v>
      </c>
      <c r="D26" s="156"/>
    </row>
    <row r="27" spans="2:5" ht="23.25" thickTop="1" x14ac:dyDescent="0.25">
      <c r="B27" s="98" t="s">
        <v>50</v>
      </c>
      <c r="C27" s="99" t="s">
        <v>162</v>
      </c>
      <c r="D27" s="100" t="s">
        <v>163</v>
      </c>
    </row>
    <row r="28" spans="2:5" x14ac:dyDescent="0.25">
      <c r="B28" s="10" t="s">
        <v>51</v>
      </c>
      <c r="C28" s="67">
        <f>SUM(C29:C37)</f>
        <v>31361.239999999998</v>
      </c>
      <c r="D28" s="43">
        <f>SUM(D29:D37)</f>
        <v>30795.49</v>
      </c>
      <c r="E28" s="23"/>
    </row>
    <row r="29" spans="2:5" x14ac:dyDescent="0.25">
      <c r="B29" s="3" t="s">
        <v>52</v>
      </c>
      <c r="C29" s="68">
        <v>1799.64</v>
      </c>
      <c r="D29" s="44">
        <v>1799.64</v>
      </c>
    </row>
    <row r="30" spans="2:5" x14ac:dyDescent="0.25">
      <c r="B30" s="3" t="s">
        <v>53</v>
      </c>
      <c r="C30" s="68">
        <v>23815.49</v>
      </c>
      <c r="D30" s="44">
        <v>23815.49</v>
      </c>
    </row>
    <row r="31" spans="2:5" x14ac:dyDescent="0.25">
      <c r="B31" s="3" t="s">
        <v>54</v>
      </c>
      <c r="C31" s="68">
        <v>0</v>
      </c>
      <c r="D31" s="44">
        <v>0</v>
      </c>
    </row>
    <row r="32" spans="2:5" x14ac:dyDescent="0.25">
      <c r="B32" s="3" t="s">
        <v>55</v>
      </c>
      <c r="C32" s="68">
        <v>4898.01</v>
      </c>
      <c r="D32" s="44">
        <f>3002.89</f>
        <v>3002.89</v>
      </c>
      <c r="E32" s="23"/>
    </row>
    <row r="33" spans="2:5" x14ac:dyDescent="0.25">
      <c r="B33" s="3" t="s">
        <v>56</v>
      </c>
      <c r="C33" s="68">
        <v>539.71</v>
      </c>
      <c r="D33" s="44">
        <v>1895.13</v>
      </c>
    </row>
    <row r="34" spans="2:5" x14ac:dyDescent="0.25">
      <c r="B34" s="3" t="s">
        <v>57</v>
      </c>
      <c r="C34" s="68">
        <v>0</v>
      </c>
      <c r="D34" s="44">
        <v>0</v>
      </c>
    </row>
    <row r="35" spans="2:5" x14ac:dyDescent="0.25">
      <c r="B35" s="3" t="s">
        <v>58</v>
      </c>
      <c r="C35" s="68">
        <v>415.13</v>
      </c>
      <c r="D35" s="44">
        <v>415.13</v>
      </c>
    </row>
    <row r="36" spans="2:5" x14ac:dyDescent="0.25">
      <c r="B36" s="3" t="s">
        <v>59</v>
      </c>
      <c r="C36" s="68">
        <v>-106.74</v>
      </c>
      <c r="D36" s="44">
        <v>-132.79</v>
      </c>
    </row>
    <row r="37" spans="2:5" x14ac:dyDescent="0.25">
      <c r="B37" s="3" t="s">
        <v>60</v>
      </c>
      <c r="C37" s="68">
        <v>0</v>
      </c>
      <c r="D37" s="44">
        <v>0</v>
      </c>
    </row>
    <row r="38" spans="2:5" x14ac:dyDescent="0.25">
      <c r="B38" s="10" t="s">
        <v>61</v>
      </c>
      <c r="C38" s="67">
        <f>SUM(C39:C45)</f>
        <v>144.93</v>
      </c>
      <c r="D38" s="43">
        <f>SUM(D39:D45)</f>
        <v>133.87</v>
      </c>
      <c r="E38" s="23"/>
    </row>
    <row r="39" spans="2:5" x14ac:dyDescent="0.25">
      <c r="B39" s="3" t="s">
        <v>62</v>
      </c>
      <c r="C39" s="68">
        <v>0</v>
      </c>
      <c r="D39" s="44">
        <v>0</v>
      </c>
    </row>
    <row r="40" spans="2:5" x14ac:dyDescent="0.25">
      <c r="B40" s="3" t="s">
        <v>63</v>
      </c>
      <c r="C40" s="68">
        <v>0</v>
      </c>
      <c r="D40" s="44">
        <v>0</v>
      </c>
    </row>
    <row r="41" spans="2:5" x14ac:dyDescent="0.25">
      <c r="B41" s="3" t="s">
        <v>64</v>
      </c>
      <c r="C41" s="68">
        <v>0</v>
      </c>
      <c r="D41" s="44">
        <v>0</v>
      </c>
    </row>
    <row r="42" spans="2:5" x14ac:dyDescent="0.25">
      <c r="B42" s="3" t="s">
        <v>65</v>
      </c>
      <c r="C42" s="68">
        <v>144.93</v>
      </c>
      <c r="D42" s="44">
        <v>133.87</v>
      </c>
    </row>
    <row r="43" spans="2:5" x14ac:dyDescent="0.25">
      <c r="B43" s="3" t="s">
        <v>66</v>
      </c>
      <c r="C43" s="68">
        <v>0</v>
      </c>
      <c r="D43" s="44">
        <v>0</v>
      </c>
    </row>
    <row r="44" spans="2:5" x14ac:dyDescent="0.25">
      <c r="B44" s="3" t="s">
        <v>67</v>
      </c>
      <c r="C44" s="68">
        <v>0</v>
      </c>
      <c r="D44" s="44">
        <v>0</v>
      </c>
    </row>
    <row r="45" spans="2:5" x14ac:dyDescent="0.25">
      <c r="B45" s="3" t="s">
        <v>68</v>
      </c>
      <c r="C45" s="68">
        <v>0</v>
      </c>
      <c r="D45" s="44">
        <v>0</v>
      </c>
    </row>
    <row r="46" spans="2:5" x14ac:dyDescent="0.25">
      <c r="B46" s="10" t="s">
        <v>69</v>
      </c>
      <c r="C46" s="67">
        <f>SUM(C47:C55)</f>
        <v>120.93</v>
      </c>
      <c r="D46" s="43">
        <f>SUM(D47:D55)</f>
        <v>125.24</v>
      </c>
    </row>
    <row r="47" spans="2:5" x14ac:dyDescent="0.25">
      <c r="B47" s="3" t="s">
        <v>62</v>
      </c>
      <c r="C47" s="68">
        <v>0</v>
      </c>
      <c r="D47" s="44">
        <v>0</v>
      </c>
    </row>
    <row r="48" spans="2:5" x14ac:dyDescent="0.25">
      <c r="B48" s="3" t="s">
        <v>63</v>
      </c>
      <c r="C48" s="68">
        <v>0</v>
      </c>
      <c r="D48" s="44">
        <v>0</v>
      </c>
    </row>
    <row r="49" spans="2:5" x14ac:dyDescent="0.25">
      <c r="B49" s="3" t="s">
        <v>70</v>
      </c>
      <c r="C49" s="68">
        <f>13.62+23.81</f>
        <v>37.43</v>
      </c>
      <c r="D49" s="44">
        <f>39.51+4.18</f>
        <v>43.69</v>
      </c>
    </row>
    <row r="50" spans="2:5" x14ac:dyDescent="0.25">
      <c r="B50" s="12" t="s">
        <v>71</v>
      </c>
      <c r="C50" s="68">
        <v>0</v>
      </c>
      <c r="D50" s="44">
        <v>0</v>
      </c>
    </row>
    <row r="51" spans="2:5" x14ac:dyDescent="0.25">
      <c r="B51" s="3" t="s">
        <v>72</v>
      </c>
      <c r="C51" s="68">
        <f>3.09+33.25+22.06</f>
        <v>58.400000000000006</v>
      </c>
      <c r="D51" s="44">
        <f>42.08+24.47</f>
        <v>66.55</v>
      </c>
    </row>
    <row r="52" spans="2:5" x14ac:dyDescent="0.25">
      <c r="B52" s="3" t="s">
        <v>66</v>
      </c>
      <c r="C52" s="68">
        <v>0</v>
      </c>
      <c r="D52" s="44">
        <v>0</v>
      </c>
    </row>
    <row r="53" spans="2:5" x14ac:dyDescent="0.25">
      <c r="B53" s="3" t="s">
        <v>67</v>
      </c>
      <c r="C53" s="68">
        <v>0</v>
      </c>
      <c r="D53" s="44">
        <v>0</v>
      </c>
    </row>
    <row r="54" spans="2:5" x14ac:dyDescent="0.25">
      <c r="B54" s="3" t="s">
        <v>68</v>
      </c>
      <c r="C54" s="68">
        <v>25.1</v>
      </c>
      <c r="D54" s="44">
        <v>15</v>
      </c>
    </row>
    <row r="55" spans="2:5" ht="23.25" x14ac:dyDescent="0.25">
      <c r="B55" s="13" t="s">
        <v>73</v>
      </c>
      <c r="C55" s="68">
        <v>0</v>
      </c>
      <c r="D55" s="44">
        <v>0</v>
      </c>
    </row>
    <row r="56" spans="2:5" x14ac:dyDescent="0.25">
      <c r="B56" s="9" t="s">
        <v>74</v>
      </c>
      <c r="C56" s="67">
        <f>C28+C38+C46</f>
        <v>31627.1</v>
      </c>
      <c r="D56" s="43">
        <f>D46+D38+D28</f>
        <v>31054.600000000002</v>
      </c>
      <c r="E56" s="23"/>
    </row>
    <row r="57" spans="2:5" ht="15.75" thickBot="1" x14ac:dyDescent="0.3">
      <c r="B57" s="21" t="s">
        <v>75</v>
      </c>
      <c r="C57" s="69">
        <f>C56*1000/7198570</f>
        <v>4.3935253807353405</v>
      </c>
      <c r="D57" s="45">
        <f>D56*1000/7198570</f>
        <v>4.3139956963674733</v>
      </c>
    </row>
    <row r="58" spans="2:5" ht="15.75" thickTop="1" x14ac:dyDescent="0.25"/>
    <row r="59" spans="2:5" x14ac:dyDescent="0.25">
      <c r="C59" s="46"/>
      <c r="D59" s="46"/>
    </row>
  </sheetData>
  <mergeCells count="2">
    <mergeCell ref="C2:D2"/>
    <mergeCell ref="C26:D26"/>
  </mergeCells>
  <pageMargins left="0.7" right="0.7" top="0.75" bottom="0.75" header="0.3" footer="0.3"/>
  <pageSetup paperSize="9" scale="8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workbookViewId="0"/>
  </sheetViews>
  <sheetFormatPr defaultRowHeight="15" x14ac:dyDescent="0.25"/>
  <cols>
    <col min="2" max="2" width="32.42578125" customWidth="1"/>
    <col min="3" max="3" width="11" customWidth="1"/>
    <col min="4" max="4" width="17.28515625" customWidth="1"/>
    <col min="5" max="5" width="11" customWidth="1"/>
    <col min="6" max="7" width="12" customWidth="1"/>
    <col min="8" max="8" width="11" customWidth="1"/>
    <col min="9" max="9" width="15.28515625" customWidth="1"/>
    <col min="10" max="10" width="12" customWidth="1"/>
  </cols>
  <sheetData>
    <row r="1" spans="2:13" ht="15.75" thickBot="1" x14ac:dyDescent="0.3"/>
    <row r="2" spans="2:13" ht="16.5" thickTop="1" thickBot="1" x14ac:dyDescent="0.3">
      <c r="C2" s="155" t="s">
        <v>28</v>
      </c>
      <c r="D2" s="160"/>
      <c r="E2" s="160"/>
      <c r="F2" s="160"/>
      <c r="G2" s="160"/>
      <c r="H2" s="160"/>
      <c r="I2" s="160"/>
      <c r="J2" s="156"/>
    </row>
    <row r="3" spans="2:13" ht="45.75" thickTop="1" x14ac:dyDescent="0.25">
      <c r="B3" s="101"/>
      <c r="C3" s="102" t="s">
        <v>52</v>
      </c>
      <c r="D3" s="102" t="s">
        <v>85</v>
      </c>
      <c r="E3" s="102" t="s">
        <v>55</v>
      </c>
      <c r="F3" s="102" t="s">
        <v>56</v>
      </c>
      <c r="G3" s="102" t="s">
        <v>58</v>
      </c>
      <c r="H3" s="102" t="s">
        <v>59</v>
      </c>
      <c r="I3" s="102" t="s">
        <v>86</v>
      </c>
      <c r="J3" s="103" t="s">
        <v>87</v>
      </c>
      <c r="L3" s="23"/>
    </row>
    <row r="4" spans="2:13" x14ac:dyDescent="0.25">
      <c r="B4" s="157" t="s">
        <v>165</v>
      </c>
      <c r="C4" s="158"/>
      <c r="D4" s="158"/>
      <c r="E4" s="158"/>
      <c r="F4" s="158"/>
      <c r="G4" s="158"/>
      <c r="H4" s="158"/>
      <c r="I4" s="158"/>
      <c r="J4" s="159"/>
      <c r="L4" s="23"/>
    </row>
    <row r="5" spans="2:13" x14ac:dyDescent="0.25">
      <c r="B5" s="18" t="s">
        <v>167</v>
      </c>
      <c r="C5" s="47">
        <f>C27</f>
        <v>1799.64</v>
      </c>
      <c r="D5" s="47">
        <f t="shared" ref="D5:G5" si="0">D27</f>
        <v>23815.49</v>
      </c>
      <c r="E5" s="47">
        <v>4898.01</v>
      </c>
      <c r="F5" s="47">
        <v>539.71</v>
      </c>
      <c r="G5" s="47">
        <f t="shared" si="0"/>
        <v>415.13</v>
      </c>
      <c r="H5" s="47">
        <v>0</v>
      </c>
      <c r="I5" s="47">
        <f>SUM(C5:H5)</f>
        <v>31467.98</v>
      </c>
      <c r="J5" s="48">
        <f>I5</f>
        <v>31467.98</v>
      </c>
      <c r="L5" s="23"/>
    </row>
    <row r="6" spans="2:13" x14ac:dyDescent="0.25">
      <c r="B6" s="16" t="s">
        <v>88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50">
        <v>0</v>
      </c>
      <c r="L6" s="23"/>
    </row>
    <row r="7" spans="2:13" x14ac:dyDescent="0.25">
      <c r="B7" s="16" t="s">
        <v>89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50">
        <v>0</v>
      </c>
      <c r="L7" s="23"/>
      <c r="M7" s="23"/>
    </row>
    <row r="8" spans="2:13" x14ac:dyDescent="0.25">
      <c r="B8" s="18" t="s">
        <v>90</v>
      </c>
      <c r="C8" s="47">
        <f>C5+C6+C7</f>
        <v>1799.64</v>
      </c>
      <c r="D8" s="47">
        <f t="shared" ref="D8:J8" si="1">D5+D6+D7</f>
        <v>23815.49</v>
      </c>
      <c r="E8" s="47">
        <f t="shared" si="1"/>
        <v>4898.01</v>
      </c>
      <c r="F8" s="47">
        <f t="shared" si="1"/>
        <v>539.71</v>
      </c>
      <c r="G8" s="47">
        <f t="shared" si="1"/>
        <v>415.13</v>
      </c>
      <c r="H8" s="47">
        <f t="shared" si="1"/>
        <v>0</v>
      </c>
      <c r="I8" s="47">
        <f>I5+I6+I7</f>
        <v>31467.98</v>
      </c>
      <c r="J8" s="48">
        <f t="shared" si="1"/>
        <v>31467.98</v>
      </c>
      <c r="L8" s="23"/>
    </row>
    <row r="9" spans="2:13" x14ac:dyDescent="0.25">
      <c r="B9" s="16" t="s">
        <v>91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50">
        <v>0</v>
      </c>
      <c r="L9" s="23"/>
    </row>
    <row r="10" spans="2:13" x14ac:dyDescent="0.25">
      <c r="B10" s="16" t="s">
        <v>92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50">
        <v>0</v>
      </c>
      <c r="L10" s="23"/>
    </row>
    <row r="11" spans="2:13" x14ac:dyDescent="0.25">
      <c r="B11" s="16" t="s">
        <v>93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50">
        <v>0</v>
      </c>
      <c r="L11" s="23"/>
    </row>
    <row r="12" spans="2:13" x14ac:dyDescent="0.25">
      <c r="B12" s="17" t="s">
        <v>94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-106.74</v>
      </c>
      <c r="I12" s="49">
        <f>SUM(C12:H12)</f>
        <v>-106.74</v>
      </c>
      <c r="J12" s="50">
        <f>I12</f>
        <v>-106.74</v>
      </c>
      <c r="L12" s="23"/>
    </row>
    <row r="13" spans="2:13" x14ac:dyDescent="0.25">
      <c r="B13" s="16" t="s">
        <v>95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50">
        <v>0</v>
      </c>
    </row>
    <row r="14" spans="2:13" x14ac:dyDescent="0.25">
      <c r="B14" s="16" t="s">
        <v>96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</row>
    <row r="15" spans="2:13" x14ac:dyDescent="0.25">
      <c r="B15" s="18" t="s">
        <v>168</v>
      </c>
      <c r="C15" s="47">
        <f>SUM(C8:C14)</f>
        <v>1799.64</v>
      </c>
      <c r="D15" s="47">
        <f t="shared" ref="D15:J15" si="2">SUM(D8:D14)</f>
        <v>23815.49</v>
      </c>
      <c r="E15" s="47">
        <f t="shared" si="2"/>
        <v>4898.01</v>
      </c>
      <c r="F15" s="47">
        <f t="shared" si="2"/>
        <v>539.71</v>
      </c>
      <c r="G15" s="47">
        <f t="shared" si="2"/>
        <v>415.13</v>
      </c>
      <c r="H15" s="47">
        <f t="shared" si="2"/>
        <v>-106.74</v>
      </c>
      <c r="I15" s="47">
        <f>SUM(I8:I14)</f>
        <v>31361.239999999998</v>
      </c>
      <c r="J15" s="48">
        <f t="shared" si="2"/>
        <v>31361.239999999998</v>
      </c>
    </row>
    <row r="16" spans="2:13" ht="15" customHeight="1" x14ac:dyDescent="0.25">
      <c r="B16" s="157" t="s">
        <v>164</v>
      </c>
      <c r="C16" s="158"/>
      <c r="D16" s="158"/>
      <c r="E16" s="158"/>
      <c r="F16" s="158"/>
      <c r="G16" s="158"/>
      <c r="H16" s="158"/>
      <c r="I16" s="158"/>
      <c r="J16" s="159"/>
    </row>
    <row r="17" spans="2:11" x14ac:dyDescent="0.25">
      <c r="B17" s="18" t="s">
        <v>166</v>
      </c>
      <c r="C17" s="47">
        <v>1799.64</v>
      </c>
      <c r="D17" s="47">
        <v>23815.49</v>
      </c>
      <c r="E17" s="47">
        <v>3002.98</v>
      </c>
      <c r="F17" s="47">
        <v>1895.05</v>
      </c>
      <c r="G17" s="47">
        <v>415.13</v>
      </c>
      <c r="H17" s="47">
        <v>0</v>
      </c>
      <c r="I17" s="47">
        <f>SUM(C17:H17)</f>
        <v>30928.29</v>
      </c>
      <c r="J17" s="48">
        <f>I17</f>
        <v>30928.29</v>
      </c>
    </row>
    <row r="18" spans="2:11" x14ac:dyDescent="0.25">
      <c r="B18" s="16" t="s">
        <v>88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50">
        <f>I18</f>
        <v>0</v>
      </c>
    </row>
    <row r="19" spans="2:11" x14ac:dyDescent="0.25">
      <c r="B19" s="16" t="s">
        <v>89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50">
        <f>I19</f>
        <v>0</v>
      </c>
    </row>
    <row r="20" spans="2:11" x14ac:dyDescent="0.25">
      <c r="B20" s="18" t="s">
        <v>90</v>
      </c>
      <c r="C20" s="47">
        <f>C17+C19+C18</f>
        <v>1799.64</v>
      </c>
      <c r="D20" s="47">
        <f t="shared" ref="D20:I20" si="3">D17+D19+D18</f>
        <v>23815.49</v>
      </c>
      <c r="E20" s="47">
        <f t="shared" si="3"/>
        <v>3002.98</v>
      </c>
      <c r="F20" s="47">
        <f t="shared" si="3"/>
        <v>1895.05</v>
      </c>
      <c r="G20" s="47">
        <f t="shared" si="3"/>
        <v>415.13</v>
      </c>
      <c r="H20" s="47">
        <f t="shared" si="3"/>
        <v>0</v>
      </c>
      <c r="I20" s="47">
        <f t="shared" si="3"/>
        <v>30928.29</v>
      </c>
      <c r="J20" s="48">
        <f>J17+J19+J18</f>
        <v>30928.29</v>
      </c>
    </row>
    <row r="21" spans="2:11" x14ac:dyDescent="0.25">
      <c r="B21" s="16" t="s">
        <v>91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f>SUM(C21:H21)</f>
        <v>0</v>
      </c>
      <c r="J21" s="50">
        <f>I21</f>
        <v>0</v>
      </c>
    </row>
    <row r="22" spans="2:11" x14ac:dyDescent="0.25">
      <c r="B22" s="16" t="s">
        <v>92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f t="shared" ref="I22:I26" si="4">SUM(C22:H22)</f>
        <v>0</v>
      </c>
      <c r="J22" s="50">
        <f t="shared" ref="J22:J25" si="5">I22</f>
        <v>0</v>
      </c>
    </row>
    <row r="23" spans="2:11" x14ac:dyDescent="0.25">
      <c r="B23" s="16" t="s">
        <v>93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f t="shared" si="4"/>
        <v>0</v>
      </c>
      <c r="J23" s="50">
        <f t="shared" si="5"/>
        <v>0</v>
      </c>
    </row>
    <row r="24" spans="2:11" x14ac:dyDescent="0.25">
      <c r="B24" s="17" t="s">
        <v>94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-132.79</v>
      </c>
      <c r="I24" s="49">
        <f t="shared" si="4"/>
        <v>-132.79</v>
      </c>
      <c r="J24" s="50">
        <f t="shared" si="5"/>
        <v>-132.79</v>
      </c>
    </row>
    <row r="25" spans="2:11" x14ac:dyDescent="0.25">
      <c r="B25" s="16" t="s">
        <v>95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f t="shared" si="4"/>
        <v>0</v>
      </c>
      <c r="J25" s="50">
        <f t="shared" si="5"/>
        <v>0</v>
      </c>
    </row>
    <row r="26" spans="2:11" x14ac:dyDescent="0.25">
      <c r="B26" s="16" t="s">
        <v>96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f t="shared" si="4"/>
        <v>0</v>
      </c>
      <c r="J26" s="50">
        <f t="shared" ref="J26" si="6">SUM(C26:I26)</f>
        <v>0</v>
      </c>
    </row>
    <row r="27" spans="2:11" ht="15.75" thickBot="1" x14ac:dyDescent="0.3">
      <c r="B27" s="19" t="s">
        <v>169</v>
      </c>
      <c r="C27" s="51">
        <f>SUM(C20:C26)</f>
        <v>1799.64</v>
      </c>
      <c r="D27" s="51">
        <f t="shared" ref="D27:I27" si="7">SUM(D20:D26)</f>
        <v>23815.49</v>
      </c>
      <c r="E27" s="51">
        <f t="shared" si="7"/>
        <v>3002.98</v>
      </c>
      <c r="F27" s="51">
        <f t="shared" si="7"/>
        <v>1895.05</v>
      </c>
      <c r="G27" s="51">
        <f t="shared" si="7"/>
        <v>415.13</v>
      </c>
      <c r="H27" s="51">
        <f t="shared" si="7"/>
        <v>-132.79</v>
      </c>
      <c r="I27" s="51">
        <f t="shared" si="7"/>
        <v>30795.5</v>
      </c>
      <c r="J27" s="52">
        <f>I27</f>
        <v>30795.5</v>
      </c>
      <c r="K27" s="23"/>
    </row>
    <row r="28" spans="2:11" ht="15.75" thickTop="1" x14ac:dyDescent="0.25"/>
  </sheetData>
  <mergeCells count="3">
    <mergeCell ref="B4:J4"/>
    <mergeCell ref="B16:J16"/>
    <mergeCell ref="C2:J2"/>
  </mergeCells>
  <pageMargins left="0.7" right="0.7" top="0.75" bottom="0.75" header="0.3" footer="0.3"/>
  <ignoredErrors>
    <ignoredError sqref="J26 J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0"/>
  <sheetViews>
    <sheetView workbookViewId="0"/>
  </sheetViews>
  <sheetFormatPr defaultRowHeight="15" x14ac:dyDescent="0.25"/>
  <cols>
    <col min="1" max="1" width="9.140625" customWidth="1"/>
    <col min="2" max="2" width="50.7109375" customWidth="1"/>
    <col min="3" max="3" width="15" style="40" customWidth="1"/>
    <col min="4" max="4" width="15.42578125" style="40" customWidth="1"/>
  </cols>
  <sheetData>
    <row r="1" spans="2:5" ht="15.75" thickBot="1" x14ac:dyDescent="0.3"/>
    <row r="2" spans="2:5" ht="16.5" thickTop="1" thickBot="1" x14ac:dyDescent="0.3">
      <c r="B2" s="26"/>
      <c r="C2" s="161" t="s">
        <v>28</v>
      </c>
      <c r="D2" s="162"/>
    </row>
    <row r="3" spans="2:5" ht="34.5" thickTop="1" x14ac:dyDescent="0.25">
      <c r="B3" s="70"/>
      <c r="C3" s="104" t="s">
        <v>160</v>
      </c>
      <c r="D3" s="105" t="s">
        <v>161</v>
      </c>
    </row>
    <row r="4" spans="2:5" x14ac:dyDescent="0.25">
      <c r="B4" s="27" t="s">
        <v>154</v>
      </c>
      <c r="C4" s="35"/>
      <c r="D4" s="106"/>
    </row>
    <row r="5" spans="2:5" x14ac:dyDescent="0.25">
      <c r="B5" s="28" t="s">
        <v>157</v>
      </c>
      <c r="C5" s="120">
        <v>-106.74</v>
      </c>
      <c r="D5" s="121">
        <v>-132.79</v>
      </c>
    </row>
    <row r="6" spans="2:5" x14ac:dyDescent="0.25">
      <c r="B6" s="28" t="s">
        <v>126</v>
      </c>
      <c r="C6" s="111">
        <f>SUM(C7:C16)</f>
        <v>247.81999999999996</v>
      </c>
      <c r="D6" s="112">
        <f t="shared" ref="D6" si="0">SUM(D7:D16)</f>
        <v>234.33999999999997</v>
      </c>
      <c r="E6" s="24"/>
    </row>
    <row r="7" spans="2:5" ht="22.5" x14ac:dyDescent="0.25">
      <c r="B7" s="29" t="s">
        <v>127</v>
      </c>
      <c r="C7" s="113">
        <v>9.31</v>
      </c>
      <c r="D7" s="114">
        <v>9.17</v>
      </c>
      <c r="E7" s="25"/>
    </row>
    <row r="8" spans="2:5" x14ac:dyDescent="0.25">
      <c r="B8" s="29" t="s">
        <v>128</v>
      </c>
      <c r="C8" s="109">
        <v>0</v>
      </c>
      <c r="D8" s="110">
        <v>0</v>
      </c>
    </row>
    <row r="9" spans="2:5" x14ac:dyDescent="0.25">
      <c r="B9" s="29" t="s">
        <v>129</v>
      </c>
      <c r="C9" s="109">
        <v>0</v>
      </c>
      <c r="D9" s="110">
        <v>0</v>
      </c>
    </row>
    <row r="10" spans="2:5" x14ac:dyDescent="0.25">
      <c r="B10" s="29" t="s">
        <v>130</v>
      </c>
      <c r="C10" s="109">
        <v>0</v>
      </c>
      <c r="D10" s="110">
        <v>0</v>
      </c>
    </row>
    <row r="11" spans="2:5" x14ac:dyDescent="0.25">
      <c r="B11" s="29" t="s">
        <v>131</v>
      </c>
      <c r="C11" s="113">
        <v>7.5</v>
      </c>
      <c r="D11" s="115">
        <v>0</v>
      </c>
    </row>
    <row r="12" spans="2:5" x14ac:dyDescent="0.25">
      <c r="B12" s="29" t="s">
        <v>132</v>
      </c>
      <c r="C12" s="108">
        <v>0</v>
      </c>
      <c r="D12" s="115">
        <v>0</v>
      </c>
    </row>
    <row r="13" spans="2:5" x14ac:dyDescent="0.25">
      <c r="B13" s="29" t="s">
        <v>133</v>
      </c>
      <c r="C13" s="113">
        <v>284.02999999999997</v>
      </c>
      <c r="D13" s="114">
        <v>220.41</v>
      </c>
    </row>
    <row r="14" spans="2:5" ht="22.5" x14ac:dyDescent="0.25">
      <c r="B14" s="29" t="s">
        <v>134</v>
      </c>
      <c r="C14" s="109">
        <v>-35.119999999999997</v>
      </c>
      <c r="D14" s="114">
        <v>2.98</v>
      </c>
    </row>
    <row r="15" spans="2:5" x14ac:dyDescent="0.25">
      <c r="B15" s="29" t="s">
        <v>135</v>
      </c>
      <c r="C15" s="109">
        <v>-15.5</v>
      </c>
      <c r="D15" s="114">
        <v>1.78</v>
      </c>
    </row>
    <row r="16" spans="2:5" x14ac:dyDescent="0.25">
      <c r="B16" s="29" t="s">
        <v>136</v>
      </c>
      <c r="C16" s="109">
        <v>-2.4</v>
      </c>
      <c r="D16" s="110">
        <v>0</v>
      </c>
    </row>
    <row r="17" spans="2:4" ht="17.25" customHeight="1" x14ac:dyDescent="0.25">
      <c r="B17" s="30" t="s">
        <v>137</v>
      </c>
      <c r="C17" s="116">
        <f t="shared" ref="C17:D17" si="1">C5+C6</f>
        <v>141.07999999999998</v>
      </c>
      <c r="D17" s="117">
        <f t="shared" si="1"/>
        <v>101.54999999999998</v>
      </c>
    </row>
    <row r="18" spans="2:4" x14ac:dyDescent="0.25">
      <c r="B18" s="27" t="s">
        <v>155</v>
      </c>
      <c r="C18" s="53"/>
      <c r="D18" s="107"/>
    </row>
    <row r="19" spans="2:4" x14ac:dyDescent="0.25">
      <c r="B19" s="28" t="s">
        <v>138</v>
      </c>
      <c r="C19" s="118">
        <f>C20+C21+C22+C23</f>
        <v>0</v>
      </c>
      <c r="D19" s="119">
        <f>D20+D21+D22+D23</f>
        <v>0</v>
      </c>
    </row>
    <row r="20" spans="2:4" ht="22.5" x14ac:dyDescent="0.25">
      <c r="B20" s="29" t="s">
        <v>139</v>
      </c>
      <c r="C20" s="108">
        <v>0</v>
      </c>
      <c r="D20" s="115">
        <v>0</v>
      </c>
    </row>
    <row r="21" spans="2:4" ht="22.5" x14ac:dyDescent="0.25">
      <c r="B21" s="29" t="s">
        <v>140</v>
      </c>
      <c r="C21" s="108">
        <v>0</v>
      </c>
      <c r="D21" s="115">
        <v>0</v>
      </c>
    </row>
    <row r="22" spans="2:4" x14ac:dyDescent="0.25">
      <c r="B22" s="29" t="s">
        <v>158</v>
      </c>
      <c r="C22" s="108">
        <v>0</v>
      </c>
      <c r="D22" s="115">
        <v>0</v>
      </c>
    </row>
    <row r="23" spans="2:4" x14ac:dyDescent="0.25">
      <c r="B23" s="29" t="s">
        <v>141</v>
      </c>
      <c r="C23" s="108">
        <v>0</v>
      </c>
      <c r="D23" s="115">
        <v>0</v>
      </c>
    </row>
    <row r="24" spans="2:4" x14ac:dyDescent="0.25">
      <c r="B24" s="28" t="s">
        <v>142</v>
      </c>
      <c r="C24" s="111">
        <f>C25+C26+C27+C28</f>
        <v>129.37</v>
      </c>
      <c r="D24" s="112">
        <f>D25+D26+D27+D28</f>
        <v>421.4</v>
      </c>
    </row>
    <row r="25" spans="2:4" ht="22.5" x14ac:dyDescent="0.25">
      <c r="B25" s="29" t="s">
        <v>143</v>
      </c>
      <c r="C25" s="108">
        <v>0</v>
      </c>
      <c r="D25" s="115">
        <v>0</v>
      </c>
    </row>
    <row r="26" spans="2:4" ht="22.5" x14ac:dyDescent="0.25">
      <c r="B26" s="29" t="s">
        <v>144</v>
      </c>
      <c r="C26" s="108">
        <v>0</v>
      </c>
      <c r="D26" s="115">
        <v>0</v>
      </c>
    </row>
    <row r="27" spans="2:4" x14ac:dyDescent="0.25">
      <c r="B27" s="29" t="s">
        <v>174</v>
      </c>
      <c r="C27" s="113">
        <v>129.37</v>
      </c>
      <c r="D27" s="114">
        <v>421.4</v>
      </c>
    </row>
    <row r="28" spans="2:4" x14ac:dyDescent="0.25">
      <c r="B28" s="29" t="s">
        <v>145</v>
      </c>
      <c r="C28" s="108">
        <v>0</v>
      </c>
      <c r="D28" s="115">
        <v>0</v>
      </c>
    </row>
    <row r="29" spans="2:4" ht="22.5" x14ac:dyDescent="0.25">
      <c r="B29" s="30" t="s">
        <v>146</v>
      </c>
      <c r="C29" s="129">
        <f>C19-C24</f>
        <v>-129.37</v>
      </c>
      <c r="D29" s="128">
        <f>D19-D24</f>
        <v>-421.4</v>
      </c>
    </row>
    <row r="30" spans="2:4" x14ac:dyDescent="0.25">
      <c r="B30" s="27" t="s">
        <v>156</v>
      </c>
      <c r="C30" s="53"/>
      <c r="D30" s="107"/>
    </row>
    <row r="31" spans="2:4" x14ac:dyDescent="0.25">
      <c r="B31" s="28" t="s">
        <v>138</v>
      </c>
      <c r="C31" s="118">
        <v>0</v>
      </c>
      <c r="D31" s="119">
        <v>0</v>
      </c>
    </row>
    <row r="32" spans="2:4" x14ac:dyDescent="0.25">
      <c r="B32" s="28" t="s">
        <v>142</v>
      </c>
      <c r="C32" s="118">
        <v>0</v>
      </c>
      <c r="D32" s="119">
        <v>0</v>
      </c>
    </row>
    <row r="33" spans="2:4" x14ac:dyDescent="0.25">
      <c r="B33" s="30" t="s">
        <v>147</v>
      </c>
      <c r="C33" s="122">
        <f>C31-C32</f>
        <v>0</v>
      </c>
      <c r="D33" s="123">
        <f t="shared" ref="D33" si="2">D31-D32</f>
        <v>0</v>
      </c>
    </row>
    <row r="34" spans="2:4" x14ac:dyDescent="0.25">
      <c r="B34" s="27" t="s">
        <v>148</v>
      </c>
      <c r="C34" s="116">
        <f>C33+C29+C17</f>
        <v>11.70999999999998</v>
      </c>
      <c r="D34" s="128">
        <f>D33+D29+D17</f>
        <v>-319.85000000000002</v>
      </c>
    </row>
    <row r="35" spans="2:4" x14ac:dyDescent="0.25">
      <c r="B35" s="27" t="s">
        <v>149</v>
      </c>
      <c r="C35" s="126">
        <f>C38-C37</f>
        <v>11.71</v>
      </c>
      <c r="D35" s="127">
        <f>D38-D37</f>
        <v>-319.85000000000002</v>
      </c>
    </row>
    <row r="36" spans="2:4" ht="22.5" x14ac:dyDescent="0.25">
      <c r="B36" s="31" t="s">
        <v>150</v>
      </c>
      <c r="C36" s="108">
        <v>0</v>
      </c>
      <c r="D36" s="115">
        <v>0</v>
      </c>
    </row>
    <row r="37" spans="2:4" x14ac:dyDescent="0.25">
      <c r="B37" s="27" t="s">
        <v>151</v>
      </c>
      <c r="C37" s="116">
        <v>12.64</v>
      </c>
      <c r="D37" s="117">
        <v>349.13</v>
      </c>
    </row>
    <row r="38" spans="2:4" x14ac:dyDescent="0.25">
      <c r="B38" s="27" t="s">
        <v>152</v>
      </c>
      <c r="C38" s="116">
        <v>24.35</v>
      </c>
      <c r="D38" s="117">
        <v>29.28</v>
      </c>
    </row>
    <row r="39" spans="2:4" ht="15.75" thickBot="1" x14ac:dyDescent="0.3">
      <c r="B39" s="32" t="s">
        <v>153</v>
      </c>
      <c r="C39" s="124">
        <v>0</v>
      </c>
      <c r="D39" s="125">
        <v>0</v>
      </c>
    </row>
    <row r="40" spans="2:4" ht="15.75" thickTop="1" x14ac:dyDescent="0.25"/>
  </sheetData>
  <mergeCells count="1">
    <mergeCell ref="C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"/>
  <sheetViews>
    <sheetView workbookViewId="0"/>
  </sheetViews>
  <sheetFormatPr defaultRowHeight="15" x14ac:dyDescent="0.25"/>
  <cols>
    <col min="2" max="2" width="39.28515625" customWidth="1"/>
    <col min="3" max="4" width="10.140625" style="40" customWidth="1"/>
    <col min="5" max="6" width="10.140625" customWidth="1"/>
    <col min="7" max="7" width="10.140625" style="40" customWidth="1"/>
  </cols>
  <sheetData>
    <row r="2" spans="2:9" ht="15.75" thickBot="1" x14ac:dyDescent="0.3"/>
    <row r="3" spans="2:9" ht="15" customHeight="1" thickTop="1" x14ac:dyDescent="0.25">
      <c r="B3" s="165"/>
      <c r="C3" s="149" t="s">
        <v>170</v>
      </c>
      <c r="D3" s="138" t="s">
        <v>170</v>
      </c>
      <c r="E3" s="138" t="s">
        <v>170</v>
      </c>
      <c r="F3" s="138" t="s">
        <v>170</v>
      </c>
      <c r="G3" s="167" t="s">
        <v>97</v>
      </c>
    </row>
    <row r="4" spans="2:9" ht="15.75" thickBot="1" x14ac:dyDescent="0.3">
      <c r="B4" s="166"/>
      <c r="C4" s="150" t="s">
        <v>171</v>
      </c>
      <c r="D4" s="20" t="s">
        <v>98</v>
      </c>
      <c r="E4" s="20" t="s">
        <v>172</v>
      </c>
      <c r="F4" s="20" t="s">
        <v>99</v>
      </c>
      <c r="G4" s="168"/>
    </row>
    <row r="5" spans="2:9" ht="15.75" thickTop="1" x14ac:dyDescent="0.25">
      <c r="B5" s="151" t="s">
        <v>0</v>
      </c>
      <c r="C5" s="54">
        <v>105</v>
      </c>
      <c r="D5" s="54">
        <v>110.11</v>
      </c>
      <c r="E5" s="56">
        <f>C5/'Kursy walut'!$D$6</f>
        <v>25.172008726296362</v>
      </c>
      <c r="F5" s="54">
        <f>D5/'Kursy walut'!$D$5</f>
        <v>26.358500502705034</v>
      </c>
      <c r="G5" s="140">
        <f>(C5/D5)*100</f>
        <v>95.35918626827717</v>
      </c>
    </row>
    <row r="6" spans="2:9" x14ac:dyDescent="0.25">
      <c r="B6" s="141" t="s">
        <v>100</v>
      </c>
      <c r="C6" s="55">
        <v>9.31</v>
      </c>
      <c r="D6" s="55">
        <v>9.17</v>
      </c>
      <c r="E6" s="57">
        <f>C6/'Kursy walut'!$D$6</f>
        <v>2.2319181070649443</v>
      </c>
      <c r="F6" s="55">
        <f>D6/'Kursy walut'!$D$5</f>
        <v>2.1951453056925363</v>
      </c>
      <c r="G6" s="142">
        <f t="shared" ref="G6:G7" si="0">(C6/D6)*100</f>
        <v>101.52671755725191</v>
      </c>
    </row>
    <row r="7" spans="2:9" x14ac:dyDescent="0.25">
      <c r="B7" s="139" t="s">
        <v>101</v>
      </c>
      <c r="C7" s="54">
        <v>105</v>
      </c>
      <c r="D7" s="54">
        <v>108.86</v>
      </c>
      <c r="E7" s="56">
        <f>C7/'Kursy walut'!$D$6</f>
        <v>25.172008726296362</v>
      </c>
      <c r="F7" s="54">
        <f>D7/'Kursy walut'!$D$5</f>
        <v>26.059271317087187</v>
      </c>
      <c r="G7" s="140">
        <f t="shared" si="0"/>
        <v>96.454161308102144</v>
      </c>
    </row>
    <row r="8" spans="2:9" x14ac:dyDescent="0.25">
      <c r="B8" s="141" t="s">
        <v>102</v>
      </c>
      <c r="C8" s="55">
        <v>-106.7</v>
      </c>
      <c r="D8" s="55">
        <v>-135.63999999999999</v>
      </c>
      <c r="E8" s="57">
        <f>C8/'Kursy walut'!$D$6</f>
        <v>-25.579555534245923</v>
      </c>
      <c r="F8" s="55">
        <f>D8/'Kursy walut'!$D$5</f>
        <v>-32.46995738976397</v>
      </c>
      <c r="G8" s="142" t="s">
        <v>105</v>
      </c>
    </row>
    <row r="9" spans="2:9" x14ac:dyDescent="0.25">
      <c r="B9" s="139" t="s">
        <v>103</v>
      </c>
      <c r="C9" s="54">
        <v>-106.62</v>
      </c>
      <c r="D9" s="54">
        <v>-135.69</v>
      </c>
      <c r="E9" s="56">
        <f>C9/'Kursy walut'!$D$6</f>
        <v>-25.560376860930649</v>
      </c>
      <c r="F9" s="54">
        <f>D9/'Kursy walut'!$D$5</f>
        <v>-32.481926557188686</v>
      </c>
      <c r="G9" s="140" t="s">
        <v>105</v>
      </c>
    </row>
    <row r="10" spans="2:9" x14ac:dyDescent="0.25">
      <c r="B10" s="141" t="s">
        <v>104</v>
      </c>
      <c r="C10" s="55">
        <v>-106.74</v>
      </c>
      <c r="D10" s="55">
        <v>-132.79</v>
      </c>
      <c r="E10" s="57">
        <f>C10/'Kursy walut'!$D$6</f>
        <v>-25.589144870903556</v>
      </c>
      <c r="F10" s="55">
        <f>D10/'Kursy walut'!$D$5</f>
        <v>-31.787714846555275</v>
      </c>
      <c r="G10" s="142" t="s">
        <v>105</v>
      </c>
      <c r="I10" s="23"/>
    </row>
    <row r="11" spans="2:9" x14ac:dyDescent="0.25">
      <c r="B11" s="139" t="s">
        <v>106</v>
      </c>
      <c r="C11" s="56">
        <f>C6+C9</f>
        <v>-97.31</v>
      </c>
      <c r="D11" s="56">
        <f>D6+D9</f>
        <v>-126.52</v>
      </c>
      <c r="E11" s="56">
        <f>C11/'Kursy walut'!$D$6</f>
        <v>-23.328458753865704</v>
      </c>
      <c r="F11" s="54">
        <f>D11/'Kursy walut'!$D$5</f>
        <v>-30.286781251496148</v>
      </c>
      <c r="G11" s="140" t="s">
        <v>105</v>
      </c>
    </row>
    <row r="12" spans="2:9" x14ac:dyDescent="0.25">
      <c r="B12" s="141" t="s">
        <v>107</v>
      </c>
      <c r="C12" s="57">
        <f>C10</f>
        <v>-106.74</v>
      </c>
      <c r="D12" s="57">
        <f>D10</f>
        <v>-132.79</v>
      </c>
      <c r="E12" s="57">
        <f>C12/'Kursy walut'!$D$6</f>
        <v>-25.589144870903556</v>
      </c>
      <c r="F12" s="55">
        <f>D12/'Kursy walut'!$D$5</f>
        <v>-31.787714846555275</v>
      </c>
      <c r="G12" s="142" t="s">
        <v>105</v>
      </c>
    </row>
    <row r="13" spans="2:9" x14ac:dyDescent="0.25">
      <c r="B13" s="139" t="s">
        <v>22</v>
      </c>
      <c r="C13" s="56">
        <f>C12</f>
        <v>-106.74</v>
      </c>
      <c r="D13" s="56">
        <f>D12</f>
        <v>-132.79</v>
      </c>
      <c r="E13" s="56">
        <f>C13/'Kursy walut'!$D$6</f>
        <v>-25.589144870903556</v>
      </c>
      <c r="F13" s="54">
        <f>D13/'Kursy walut'!$D$5</f>
        <v>-31.787714846555275</v>
      </c>
      <c r="G13" s="140" t="s">
        <v>105</v>
      </c>
    </row>
    <row r="14" spans="2:9" ht="15" customHeight="1" x14ac:dyDescent="0.25">
      <c r="B14" s="169"/>
      <c r="C14" s="22" t="s">
        <v>173</v>
      </c>
      <c r="D14" s="22" t="s">
        <v>173</v>
      </c>
      <c r="E14" s="22" t="s">
        <v>173</v>
      </c>
      <c r="F14" s="22" t="s">
        <v>173</v>
      </c>
      <c r="G14" s="168" t="s">
        <v>97</v>
      </c>
    </row>
    <row r="15" spans="2:9" x14ac:dyDescent="0.25">
      <c r="B15" s="170"/>
      <c r="C15" s="20" t="s">
        <v>171</v>
      </c>
      <c r="D15" s="20" t="s">
        <v>98</v>
      </c>
      <c r="E15" s="20" t="s">
        <v>172</v>
      </c>
      <c r="F15" s="20" t="s">
        <v>99</v>
      </c>
      <c r="G15" s="168"/>
    </row>
    <row r="16" spans="2:9" x14ac:dyDescent="0.25">
      <c r="B16" s="141" t="s">
        <v>108</v>
      </c>
      <c r="C16" s="58">
        <f>C17+C18</f>
        <v>31627.100000000002</v>
      </c>
      <c r="D16" s="58">
        <f t="shared" ref="D16" si="1">D17+D18</f>
        <v>31054.600000000002</v>
      </c>
      <c r="E16" s="58">
        <f>C16/'Kursy walut'!$C$6</f>
        <v>7549.3149376999099</v>
      </c>
      <c r="F16" s="58">
        <f>D16/'Kursy walut'!$C$5</f>
        <v>7440.366093248359</v>
      </c>
      <c r="G16" s="143">
        <f>(C16/D16)*100</f>
        <v>101.84352720691943</v>
      </c>
    </row>
    <row r="17" spans="2:7" x14ac:dyDescent="0.25">
      <c r="B17" s="139" t="s">
        <v>29</v>
      </c>
      <c r="C17" s="59">
        <v>31252.2</v>
      </c>
      <c r="D17" s="59">
        <v>30454.47</v>
      </c>
      <c r="E17" s="59">
        <f>C17/'Kursy walut'!$C$6</f>
        <v>7459.8271828901516</v>
      </c>
      <c r="F17" s="59">
        <f>D17/'Kursy walut'!$C$5</f>
        <v>7296.5810532368587</v>
      </c>
      <c r="G17" s="144">
        <f t="shared" ref="G17:G28" si="2">(C17/D17)*100</f>
        <v>102.61941843020088</v>
      </c>
    </row>
    <row r="18" spans="2:7" x14ac:dyDescent="0.25">
      <c r="B18" s="141" t="s">
        <v>38</v>
      </c>
      <c r="C18" s="58">
        <v>374.9</v>
      </c>
      <c r="D18" s="58">
        <v>600.13</v>
      </c>
      <c r="E18" s="58">
        <f>C18/'Kursy walut'!$C$6</f>
        <v>89.487754809757959</v>
      </c>
      <c r="F18" s="58">
        <f>D18/'Kursy walut'!$C$5</f>
        <v>143.78504001150031</v>
      </c>
      <c r="G18" s="143">
        <f t="shared" si="2"/>
        <v>62.469798210387751</v>
      </c>
    </row>
    <row r="19" spans="2:7" x14ac:dyDescent="0.25">
      <c r="B19" s="139" t="s">
        <v>39</v>
      </c>
      <c r="C19" s="59">
        <v>0</v>
      </c>
      <c r="D19" s="59">
        <v>0</v>
      </c>
      <c r="E19" s="59">
        <f>C19/'Kursy walut'!$C$6</f>
        <v>0</v>
      </c>
      <c r="F19" s="59">
        <f>D19/'Kursy walut'!$C$5</f>
        <v>0</v>
      </c>
      <c r="G19" s="144" t="s">
        <v>105</v>
      </c>
    </row>
    <row r="20" spans="2:7" x14ac:dyDescent="0.25">
      <c r="B20" s="141" t="s">
        <v>109</v>
      </c>
      <c r="C20" s="58">
        <v>24.35</v>
      </c>
      <c r="D20" s="58">
        <v>29.28</v>
      </c>
      <c r="E20" s="58">
        <f>C20/'Kursy walut'!$C$6</f>
        <v>5.812288155821836</v>
      </c>
      <c r="F20" s="58">
        <f>D20/'Kursy walut'!$C$5</f>
        <v>7.0151899947290239</v>
      </c>
      <c r="G20" s="143">
        <f t="shared" si="2"/>
        <v>83.162568306010925</v>
      </c>
    </row>
    <row r="21" spans="2:7" x14ac:dyDescent="0.25">
      <c r="B21" s="139" t="s">
        <v>110</v>
      </c>
      <c r="C21" s="59">
        <f>C22+C23</f>
        <v>867.52</v>
      </c>
      <c r="D21" s="59">
        <f>D22+D23</f>
        <v>852.21</v>
      </c>
      <c r="E21" s="59">
        <f>C21/'Kursy walut'!$C$6</f>
        <v>207.07499880651167</v>
      </c>
      <c r="F21" s="59">
        <f>D21/'Kursy walut'!$C$5</f>
        <v>204.18084239781496</v>
      </c>
      <c r="G21" s="144">
        <f t="shared" si="2"/>
        <v>101.79650555614226</v>
      </c>
    </row>
    <row r="22" spans="2:7" x14ac:dyDescent="0.25">
      <c r="B22" s="141" t="s">
        <v>111</v>
      </c>
      <c r="C22" s="58">
        <v>332.77</v>
      </c>
      <c r="D22" s="58">
        <f>852.21-534.75</f>
        <v>317.46000000000004</v>
      </c>
      <c r="E22" s="58">
        <f>C22/'Kursy walut'!$C$6</f>
        <v>79.43142216069127</v>
      </c>
      <c r="F22" s="58">
        <f>D22/'Kursy walut'!$C$5</f>
        <v>76.060184963342763</v>
      </c>
      <c r="G22" s="143">
        <f t="shared" si="2"/>
        <v>104.8226548226548</v>
      </c>
    </row>
    <row r="23" spans="2:7" x14ac:dyDescent="0.25">
      <c r="B23" s="139" t="s">
        <v>112</v>
      </c>
      <c r="C23" s="59">
        <v>534.75</v>
      </c>
      <c r="D23" s="59">
        <v>534.75</v>
      </c>
      <c r="E23" s="59">
        <f>C23/'Kursy walut'!$C$6</f>
        <v>127.6435766458204</v>
      </c>
      <c r="F23" s="59">
        <f>D23/'Kursy walut'!$C$5</f>
        <v>128.12065743447218</v>
      </c>
      <c r="G23" s="145">
        <f t="shared" si="2"/>
        <v>100</v>
      </c>
    </row>
    <row r="24" spans="2:7" x14ac:dyDescent="0.25">
      <c r="B24" s="141" t="s">
        <v>113</v>
      </c>
      <c r="C24" s="58">
        <f>C25+C26</f>
        <v>265.86</v>
      </c>
      <c r="D24" s="58">
        <f>D25+D26</f>
        <v>259.11</v>
      </c>
      <c r="E24" s="58">
        <f>C24/'Kursy walut'!$C$6</f>
        <v>63.460161359621907</v>
      </c>
      <c r="F24" s="58">
        <f>D24/'Kursy walut'!$C$5</f>
        <v>62.080118836551826</v>
      </c>
      <c r="G24" s="143">
        <f t="shared" si="2"/>
        <v>102.60507120527961</v>
      </c>
    </row>
    <row r="25" spans="2:7" x14ac:dyDescent="0.25">
      <c r="B25" s="139" t="s">
        <v>114</v>
      </c>
      <c r="C25" s="59">
        <v>144.93</v>
      </c>
      <c r="D25" s="59">
        <v>133.87</v>
      </c>
      <c r="E25" s="59">
        <f>C25/'Kursy walut'!$C$6</f>
        <v>34.594452666252927</v>
      </c>
      <c r="F25" s="59">
        <f>D25/'Kursy walut'!$C$5</f>
        <v>32.073889501173994</v>
      </c>
      <c r="G25" s="144">
        <f t="shared" si="2"/>
        <v>108.26174647045642</v>
      </c>
    </row>
    <row r="26" spans="2:7" x14ac:dyDescent="0.25">
      <c r="B26" s="141" t="s">
        <v>69</v>
      </c>
      <c r="C26" s="58">
        <f>95.83+25.1</f>
        <v>120.93</v>
      </c>
      <c r="D26" s="58">
        <f>110.24+15</f>
        <v>125.24</v>
      </c>
      <c r="E26" s="58">
        <f>C26/'Kursy walut'!$C$6</f>
        <v>28.86570869336898</v>
      </c>
      <c r="F26" s="58">
        <f>D26/'Kursy walut'!$C$5</f>
        <v>30.006229335377832</v>
      </c>
      <c r="G26" s="143">
        <f t="shared" si="2"/>
        <v>96.558607473650611</v>
      </c>
    </row>
    <row r="27" spans="2:7" x14ac:dyDescent="0.25">
      <c r="B27" s="139" t="s">
        <v>115</v>
      </c>
      <c r="C27" s="59">
        <v>31361.24</v>
      </c>
      <c r="D27" s="59">
        <v>30795.49</v>
      </c>
      <c r="E27" s="59">
        <f>C27/'Kursy walut'!$C$6</f>
        <v>7485.8547763402876</v>
      </c>
      <c r="F27" s="59">
        <f>D27/'Kursy walut'!$C$5</f>
        <v>7378.2859744118077</v>
      </c>
      <c r="G27" s="144">
        <f t="shared" si="2"/>
        <v>101.83711965615745</v>
      </c>
    </row>
    <row r="28" spans="2:7" ht="15.75" thickBot="1" x14ac:dyDescent="0.3">
      <c r="B28" s="146" t="s">
        <v>116</v>
      </c>
      <c r="C28" s="147">
        <v>1799.64</v>
      </c>
      <c r="D28" s="147">
        <v>1799.64</v>
      </c>
      <c r="E28" s="147">
        <f>C28/'Kursy walut'!$C$6</f>
        <v>429.56986680670263</v>
      </c>
      <c r="F28" s="147">
        <f>D28/'Kursy walut'!$C$5</f>
        <v>431.17542766783271</v>
      </c>
      <c r="G28" s="148">
        <f t="shared" si="2"/>
        <v>100</v>
      </c>
    </row>
    <row r="29" spans="2:7" ht="15.75" thickTop="1" x14ac:dyDescent="0.25">
      <c r="C29" s="46"/>
      <c r="D29" s="46"/>
    </row>
    <row r="30" spans="2:7" x14ac:dyDescent="0.25">
      <c r="C30" s="46"/>
      <c r="D30" s="46"/>
    </row>
    <row r="31" spans="2:7" x14ac:dyDescent="0.25">
      <c r="C31" s="46"/>
      <c r="D31" s="46"/>
    </row>
    <row r="32" spans="2:7" x14ac:dyDescent="0.25">
      <c r="C32" s="46"/>
    </row>
  </sheetData>
  <mergeCells count="4">
    <mergeCell ref="B3:B4"/>
    <mergeCell ref="G3:G4"/>
    <mergeCell ref="B14:B15"/>
    <mergeCell ref="G14:G15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"/>
  <sheetViews>
    <sheetView workbookViewId="0"/>
  </sheetViews>
  <sheetFormatPr defaultRowHeight="15" x14ac:dyDescent="0.25"/>
  <cols>
    <col min="2" max="2" width="39" customWidth="1"/>
    <col min="3" max="3" width="13.5703125" customWidth="1"/>
    <col min="4" max="4" width="10.42578125" bestFit="1" customWidth="1"/>
  </cols>
  <sheetData>
    <row r="3" spans="2:4" ht="15.75" thickBot="1" x14ac:dyDescent="0.3"/>
    <row r="4" spans="2:4" ht="15.75" thickTop="1" x14ac:dyDescent="0.25">
      <c r="B4" s="171"/>
      <c r="C4" s="77" t="s">
        <v>170</v>
      </c>
      <c r="D4" s="78" t="s">
        <v>170</v>
      </c>
    </row>
    <row r="5" spans="2:4" x14ac:dyDescent="0.25">
      <c r="B5" s="172"/>
      <c r="C5" s="79">
        <v>2014</v>
      </c>
      <c r="D5" s="80">
        <v>2013</v>
      </c>
    </row>
    <row r="6" spans="2:4" x14ac:dyDescent="0.25">
      <c r="B6" s="76" t="s">
        <v>117</v>
      </c>
      <c r="C6" s="81" t="s">
        <v>105</v>
      </c>
      <c r="D6" s="81" t="s">
        <v>105</v>
      </c>
    </row>
    <row r="7" spans="2:4" x14ac:dyDescent="0.25">
      <c r="B7" s="73" t="s">
        <v>118</v>
      </c>
      <c r="C7" s="152" t="s">
        <v>105</v>
      </c>
      <c r="D7" s="152" t="s">
        <v>105</v>
      </c>
    </row>
    <row r="8" spans="2:4" x14ac:dyDescent="0.25">
      <c r="B8" s="72" t="s">
        <v>119</v>
      </c>
      <c r="C8" s="81" t="s">
        <v>105</v>
      </c>
      <c r="D8" s="81" t="s">
        <v>105</v>
      </c>
    </row>
    <row r="9" spans="2:4" x14ac:dyDescent="0.25">
      <c r="B9" s="73" t="s">
        <v>120</v>
      </c>
      <c r="C9" s="152" t="s">
        <v>105</v>
      </c>
      <c r="D9" s="152" t="s">
        <v>105</v>
      </c>
    </row>
    <row r="10" spans="2:4" x14ac:dyDescent="0.25">
      <c r="B10" s="74" t="s">
        <v>121</v>
      </c>
      <c r="C10" s="81" t="s">
        <v>105</v>
      </c>
      <c r="D10" s="81" t="s">
        <v>105</v>
      </c>
    </row>
    <row r="11" spans="2:4" x14ac:dyDescent="0.25">
      <c r="B11" s="73" t="s">
        <v>122</v>
      </c>
      <c r="C11" s="82">
        <f>'Wybrane dane finansowe LUG S.A '!C18/'Wybrane dane finansowe LUG S.A '!C26</f>
        <v>3.1001405771934172</v>
      </c>
      <c r="D11" s="83">
        <f>'Wybrane dane finansowe LUG S.A '!D18/'Wybrane dane finansowe LUG S.A '!D26</f>
        <v>4.7918396678377517</v>
      </c>
    </row>
    <row r="12" spans="2:4" ht="15.75" thickBot="1" x14ac:dyDescent="0.3">
      <c r="B12" s="75" t="s">
        <v>123</v>
      </c>
      <c r="C12" s="84">
        <f>'Wybrane dane finansowe LUG S.A '!C24/'Wybrane dane finansowe LUG S.A '!C16</f>
        <v>8.4060821257718847E-3</v>
      </c>
      <c r="D12" s="85">
        <f>'Wybrane dane finansowe LUG S.A '!D24/'Wybrane dane finansowe LUG S.A '!D16</f>
        <v>8.3436914337972467E-3</v>
      </c>
    </row>
    <row r="13" spans="2:4" ht="15.75" thickTop="1" x14ac:dyDescent="0.25"/>
  </sheetData>
  <mergeCells count="1">
    <mergeCell ref="B4:B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workbookViewId="0">
      <selection activeCell="F15" sqref="F15"/>
    </sheetView>
  </sheetViews>
  <sheetFormatPr defaultRowHeight="15" x14ac:dyDescent="0.25"/>
  <cols>
    <col min="3" max="3" width="23.42578125" customWidth="1"/>
    <col min="4" max="4" width="23" customWidth="1"/>
  </cols>
  <sheetData>
    <row r="2" spans="2:4" ht="15.75" thickBot="1" x14ac:dyDescent="0.3"/>
    <row r="3" spans="2:4" ht="15.75" thickTop="1" x14ac:dyDescent="0.25">
      <c r="B3" s="163"/>
      <c r="C3" s="130" t="s">
        <v>124</v>
      </c>
      <c r="D3" s="131" t="s">
        <v>125</v>
      </c>
    </row>
    <row r="4" spans="2:4" ht="15.75" thickBot="1" x14ac:dyDescent="0.3">
      <c r="B4" s="164"/>
      <c r="C4" s="132" t="s">
        <v>175</v>
      </c>
      <c r="D4" s="133" t="s">
        <v>170</v>
      </c>
    </row>
    <row r="5" spans="2:4" ht="15.75" thickBot="1" x14ac:dyDescent="0.3">
      <c r="B5" s="134">
        <v>2013</v>
      </c>
      <c r="C5" s="135">
        <v>4.1738</v>
      </c>
      <c r="D5" s="135">
        <v>4.1773999999999996</v>
      </c>
    </row>
    <row r="6" spans="2:4" ht="15.75" thickBot="1" x14ac:dyDescent="0.3">
      <c r="B6" s="136">
        <v>2014</v>
      </c>
      <c r="C6" s="137">
        <v>4.1894</v>
      </c>
      <c r="D6" s="137">
        <v>4.1712999999999996</v>
      </c>
    </row>
    <row r="7" spans="2:4" ht="15.75" thickTop="1" x14ac:dyDescent="0.25"/>
  </sheetData>
  <mergeCells count="1"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RZiS LUG S.A.</vt:lpstr>
      <vt:lpstr>Sk. spr.z cał.doch. LUG S.A.</vt:lpstr>
      <vt:lpstr>Bilans LUG S.A.</vt:lpstr>
      <vt:lpstr>Zest.zmian w kap.wł. LUG S.A.</vt:lpstr>
      <vt:lpstr>Rach.przep.pienięż LUG S.A.</vt:lpstr>
      <vt:lpstr>Wybrane dane finansowe LUG S.A </vt:lpstr>
      <vt:lpstr>Wskaźniki finansowe LUG S.A.</vt:lpstr>
      <vt:lpstr>Kursy walut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cp:lastPrinted>2014-02-05T09:36:55Z</cp:lastPrinted>
  <dcterms:created xsi:type="dcterms:W3CDTF">2013-11-04T11:55:12Z</dcterms:created>
  <dcterms:modified xsi:type="dcterms:W3CDTF">2014-05-20T20:34:16Z</dcterms:modified>
</cp:coreProperties>
</file>