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6915"/>
  </bookViews>
  <sheets>
    <sheet name="RZiS LUG S.A." sheetId="2" r:id="rId1"/>
    <sheet name="Sk. spr.z cał.doch. LUG S.A." sheetId="4" r:id="rId2"/>
    <sheet name="Bilans LUG S.A." sheetId="3" r:id="rId3"/>
    <sheet name="Zest.zmian w kap.wł. LUG S.A." sheetId="5" r:id="rId4"/>
    <sheet name="Rach.przep.pienięż LUG S.A." sheetId="6" r:id="rId5"/>
    <sheet name="Wybrane dane finansowe LUG S.A " sheetId="7" r:id="rId6"/>
    <sheet name="Wskaźniki finansowe LUG S.A." sheetId="8" r:id="rId7"/>
    <sheet name="Kursy walut" sheetId="9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6" i="8" l="1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E26" i="7"/>
  <c r="F17" i="7"/>
  <c r="F18" i="7"/>
  <c r="F19" i="7"/>
  <c r="F20" i="7"/>
  <c r="F21" i="7"/>
  <c r="F22" i="7"/>
  <c r="F23" i="7"/>
  <c r="F24" i="7"/>
  <c r="F25" i="7"/>
  <c r="F26" i="7"/>
  <c r="F27" i="7"/>
  <c r="F28" i="7"/>
  <c r="F16" i="7"/>
  <c r="E17" i="7"/>
  <c r="E18" i="7"/>
  <c r="E19" i="7"/>
  <c r="E20" i="7"/>
  <c r="E21" i="7"/>
  <c r="E22" i="7"/>
  <c r="E23" i="7"/>
  <c r="E24" i="7"/>
  <c r="E25" i="7"/>
  <c r="E27" i="7"/>
  <c r="E28" i="7"/>
  <c r="E16" i="7"/>
  <c r="K6" i="7"/>
  <c r="K7" i="7"/>
  <c r="K8" i="7"/>
  <c r="K9" i="7"/>
  <c r="K10" i="7"/>
  <c r="K11" i="7"/>
  <c r="K12" i="7"/>
  <c r="K13" i="7"/>
  <c r="K5" i="7"/>
  <c r="J6" i="7"/>
  <c r="J7" i="7"/>
  <c r="J8" i="7"/>
  <c r="J9" i="7"/>
  <c r="J10" i="7"/>
  <c r="J11" i="7"/>
  <c r="J12" i="7"/>
  <c r="J13" i="7"/>
  <c r="J5" i="7"/>
  <c r="F6" i="7"/>
  <c r="F7" i="7"/>
  <c r="F8" i="7"/>
  <c r="F9" i="7"/>
  <c r="F10" i="7"/>
  <c r="F11" i="7"/>
  <c r="F12" i="7"/>
  <c r="F13" i="7"/>
  <c r="F5" i="7"/>
  <c r="E6" i="7"/>
  <c r="E7" i="7"/>
  <c r="E8" i="7"/>
  <c r="E9" i="7"/>
  <c r="E10" i="7"/>
  <c r="E11" i="7"/>
  <c r="E12" i="7"/>
  <c r="E13" i="7"/>
  <c r="E5" i="7"/>
  <c r="I24" i="7"/>
  <c r="H24" i="7"/>
  <c r="I22" i="7"/>
  <c r="I21" i="7" s="1"/>
  <c r="H22" i="7"/>
  <c r="H21" i="7" s="1"/>
  <c r="I16" i="7"/>
  <c r="H16" i="7"/>
  <c r="D22" i="7"/>
  <c r="D21" i="7" s="1"/>
  <c r="C22" i="7"/>
  <c r="D24" i="7"/>
  <c r="C24" i="7"/>
  <c r="C21" i="7"/>
  <c r="D16" i="7"/>
  <c r="C16" i="7"/>
  <c r="F26" i="2"/>
  <c r="L10" i="7"/>
  <c r="H13" i="7"/>
  <c r="L13" i="7" s="1"/>
  <c r="I12" i="7"/>
  <c r="H12" i="7"/>
  <c r="L12" i="7" s="1"/>
  <c r="I8" i="7"/>
  <c r="H8" i="7"/>
  <c r="I11" i="7"/>
  <c r="H11" i="7"/>
  <c r="C13" i="7"/>
  <c r="D12" i="7"/>
  <c r="C12" i="7"/>
  <c r="C6" i="7"/>
  <c r="C11" i="7" s="1"/>
  <c r="D11" i="7"/>
  <c r="D8" i="7"/>
  <c r="C8" i="7"/>
  <c r="I12" i="5"/>
  <c r="J12" i="5" s="1"/>
  <c r="E8" i="5"/>
  <c r="E15" i="5" s="1"/>
  <c r="F8" i="5"/>
  <c r="F15" i="5" s="1"/>
  <c r="H8" i="5"/>
  <c r="H15" i="5" s="1"/>
  <c r="J23" i="5"/>
  <c r="J25" i="5"/>
  <c r="J19" i="5"/>
  <c r="J18" i="5"/>
  <c r="I22" i="5"/>
  <c r="J22" i="5" s="1"/>
  <c r="I23" i="5"/>
  <c r="I24" i="5"/>
  <c r="J24" i="5" s="1"/>
  <c r="I25" i="5"/>
  <c r="I26" i="5"/>
  <c r="I21" i="5"/>
  <c r="J21" i="5" s="1"/>
  <c r="I17" i="5"/>
  <c r="J17" i="5" s="1"/>
  <c r="J20" i="5" l="1"/>
  <c r="E35" i="6"/>
  <c r="D35" i="6"/>
  <c r="C35" i="6"/>
  <c r="F35" i="6" l="1"/>
  <c r="C24" i="6"/>
  <c r="D24" i="6"/>
  <c r="E24" i="6"/>
  <c r="F24" i="6"/>
  <c r="C19" i="6"/>
  <c r="D19" i="6"/>
  <c r="E19" i="6"/>
  <c r="F19" i="6"/>
  <c r="E20" i="5"/>
  <c r="E27" i="5" s="1"/>
  <c r="J26" i="5"/>
  <c r="C27" i="5"/>
  <c r="C5" i="5" s="1"/>
  <c r="D20" i="5"/>
  <c r="D27" i="5" s="1"/>
  <c r="D5" i="5" s="1"/>
  <c r="D8" i="5" s="1"/>
  <c r="D15" i="5" s="1"/>
  <c r="F20" i="5"/>
  <c r="F27" i="5" s="1"/>
  <c r="G20" i="5"/>
  <c r="G27" i="5" s="1"/>
  <c r="G5" i="5" s="1"/>
  <c r="G8" i="5" s="1"/>
  <c r="G15" i="5" s="1"/>
  <c r="H20" i="5"/>
  <c r="H27" i="5" s="1"/>
  <c r="I20" i="5"/>
  <c r="I27" i="5" s="1"/>
  <c r="J27" i="5" s="1"/>
  <c r="C20" i="5"/>
  <c r="D17" i="3"/>
  <c r="D32" i="3"/>
  <c r="D51" i="3"/>
  <c r="D36" i="3"/>
  <c r="D26" i="2"/>
  <c r="D27" i="2" s="1"/>
  <c r="D30" i="2" s="1"/>
  <c r="D33" i="6"/>
  <c r="E33" i="6"/>
  <c r="F33" i="6"/>
  <c r="C33" i="6"/>
  <c r="D6" i="6"/>
  <c r="D17" i="6" s="1"/>
  <c r="E6" i="6"/>
  <c r="E17" i="6" s="1"/>
  <c r="F6" i="6"/>
  <c r="F17" i="6" s="1"/>
  <c r="C6" i="6"/>
  <c r="C17" i="6" s="1"/>
  <c r="C51" i="3"/>
  <c r="C17" i="3"/>
  <c r="C8" i="5" l="1"/>
  <c r="C15" i="5" s="1"/>
  <c r="I5" i="5"/>
  <c r="D29" i="2"/>
  <c r="D34" i="2"/>
  <c r="D33" i="2"/>
  <c r="D32" i="2"/>
  <c r="D31" i="2"/>
  <c r="D29" i="6"/>
  <c r="C29" i="6"/>
  <c r="C34" i="6" s="1"/>
  <c r="E29" i="6"/>
  <c r="E34" i="6" s="1"/>
  <c r="F29" i="6"/>
  <c r="F34" i="6" s="1"/>
  <c r="D34" i="6"/>
  <c r="D46" i="3"/>
  <c r="C46" i="3"/>
  <c r="D38" i="3"/>
  <c r="C38" i="3"/>
  <c r="D28" i="3"/>
  <c r="C28" i="3"/>
  <c r="D4" i="3"/>
  <c r="D13" i="3"/>
  <c r="C13" i="3"/>
  <c r="C4" i="3"/>
  <c r="D4" i="4"/>
  <c r="D11" i="4" s="1"/>
  <c r="D13" i="4" s="1"/>
  <c r="F7" i="2"/>
  <c r="E7" i="2"/>
  <c r="C7" i="2"/>
  <c r="C4" i="2"/>
  <c r="F4" i="2"/>
  <c r="E4" i="2"/>
  <c r="E10" i="2" s="1"/>
  <c r="E17" i="2" s="1"/>
  <c r="E21" i="2" s="1"/>
  <c r="J5" i="5" l="1"/>
  <c r="J8" i="5" s="1"/>
  <c r="J15" i="5" s="1"/>
  <c r="I8" i="5"/>
  <c r="I15" i="5" s="1"/>
  <c r="E26" i="2"/>
  <c r="D56" i="3"/>
  <c r="D57" i="3" s="1"/>
  <c r="D24" i="3"/>
  <c r="F10" i="2"/>
  <c r="F17" i="2" s="1"/>
  <c r="F21" i="2" s="1"/>
  <c r="C56" i="3"/>
  <c r="C57" i="3" s="1"/>
  <c r="C24" i="3"/>
  <c r="C10" i="2"/>
  <c r="C17" i="2" s="1"/>
  <c r="C21" i="2" s="1"/>
  <c r="F12" i="8"/>
  <c r="E12" i="8"/>
  <c r="D12" i="8"/>
  <c r="C12" i="8"/>
  <c r="F11" i="8"/>
  <c r="E11" i="8"/>
  <c r="D11" i="8"/>
  <c r="C11" i="8"/>
  <c r="F10" i="8"/>
  <c r="E10" i="8"/>
  <c r="D10" i="8"/>
  <c r="C10" i="8"/>
  <c r="F7" i="8"/>
  <c r="E7" i="8"/>
  <c r="F6" i="8"/>
  <c r="E6" i="8"/>
  <c r="F9" i="8"/>
  <c r="E9" i="8"/>
  <c r="D9" i="8"/>
  <c r="C9" i="8"/>
  <c r="F8" i="8"/>
  <c r="E8" i="8"/>
  <c r="D8" i="8"/>
  <c r="C8" i="8"/>
  <c r="D7" i="8"/>
  <c r="C7" i="8"/>
  <c r="D6" i="8"/>
  <c r="E27" i="2" l="1"/>
  <c r="E4" i="4"/>
  <c r="E11" i="4" s="1"/>
  <c r="E13" i="4" s="1"/>
  <c r="C26" i="2"/>
  <c r="G10" i="7"/>
  <c r="G13" i="7"/>
  <c r="G11" i="7"/>
  <c r="L11" i="7"/>
  <c r="E30" i="2" l="1"/>
  <c r="E32" i="2"/>
  <c r="E34" i="2"/>
  <c r="E31" i="2"/>
  <c r="E33" i="2"/>
  <c r="E29" i="2"/>
  <c r="C4" i="4"/>
  <c r="C11" i="4" s="1"/>
  <c r="C13" i="4" s="1"/>
  <c r="C27" i="2"/>
  <c r="F4" i="4"/>
  <c r="F11" i="4" s="1"/>
  <c r="F13" i="4" s="1"/>
  <c r="F27" i="2"/>
  <c r="G12" i="7"/>
  <c r="L28" i="7"/>
  <c r="G28" i="7"/>
  <c r="L27" i="7"/>
  <c r="G27" i="7"/>
  <c r="L26" i="7"/>
  <c r="G26" i="7"/>
  <c r="L25" i="7"/>
  <c r="G25" i="7"/>
  <c r="L24" i="7"/>
  <c r="L22" i="7"/>
  <c r="L21" i="7"/>
  <c r="L20" i="7"/>
  <c r="G20" i="7"/>
  <c r="L18" i="7"/>
  <c r="G18" i="7"/>
  <c r="L17" i="7"/>
  <c r="G17" i="7"/>
  <c r="L16" i="7"/>
  <c r="G16" i="7"/>
  <c r="L9" i="7"/>
  <c r="G9" i="7"/>
  <c r="L8" i="7"/>
  <c r="G8" i="7"/>
  <c r="L7" i="7"/>
  <c r="G7" i="7"/>
  <c r="L6" i="7"/>
  <c r="G6" i="7"/>
  <c r="L5" i="7"/>
  <c r="G5" i="7"/>
  <c r="B5" i="5"/>
  <c r="F33" i="2" l="1"/>
  <c r="F30" i="2"/>
  <c r="F32" i="2"/>
  <c r="F34" i="2"/>
  <c r="F31" i="2"/>
  <c r="F29" i="2"/>
  <c r="C31" i="2"/>
  <c r="C33" i="2"/>
  <c r="C32" i="2"/>
  <c r="C29" i="2"/>
  <c r="C30" i="2"/>
  <c r="C34" i="2"/>
  <c r="G24" i="7"/>
  <c r="G22" i="7"/>
  <c r="G21" i="7"/>
</calcChain>
</file>

<file path=xl/sharedStrings.xml><?xml version="1.0" encoding="utf-8"?>
<sst xmlns="http://schemas.openxmlformats.org/spreadsheetml/2006/main" count="263" uniqueCount="180">
  <si>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</si>
  <si>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</si>
  <si>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</si>
  <si>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</si>
  <si>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</si>
  <si>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</si>
  <si>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</si>
  <si>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</si>
  <si>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</si>
  <si>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</si>
  <si>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</si>
  <si>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</si>
  <si>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</si>
  <si>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</si>
  <si>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</si>
  <si>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</si>
  <si>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</si>
  <si>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</si>
  <si>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</si>
  <si>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</si>
  <si>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</si>
  <si>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</si>
  <si>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</si>
  <si>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</si>
  <si>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</si>
  <si>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</si>
  <si>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</si>
  <si>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</si>
  <si>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</si>
  <si>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</si>
  <si>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</si>
  <si>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</si>
  <si>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</si>
  <si>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</si>
  <si>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</si>
  <si>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</si>
  <si>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</si>
  <si>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</si>
  <si>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</si>
  <si>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</si>
  <si>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</si>
  <si>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</si>
  <si>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</si>
  <si>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</si>
  <si>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</si>
  <si>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</si>
  <si>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</si>
  <si>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</si>
  <si>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</si>
  <si>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</si>
  <si>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</si>
  <si>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</si>
  <si>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</si>
  <si>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</si>
  <si>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</si>
  <si>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</si>
  <si>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</si>
  <si>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</si>
  <si>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</si>
  <si>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</si>
  <si>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</si>
  <si>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</si>
  <si>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</si>
  <si>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</si>
  <si>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</si>
  <si>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</si>
  <si>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</si>
  <si>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</si>
  <si>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</si>
  <si>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</si>
  <si>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</si>
  <si>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</si>
  <si>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</si>
  <si>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</si>
  <si>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</si>
  <si>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</si>
  <si>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</si>
  <si>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</si>
  <si>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</si>
  <si>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</si>
  <si>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</si>
  <si>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</si>
  <si>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</si>
  <si>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</si>
  <si>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</si>
  <si>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</si>
  <si>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</si>
  <si>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</si>
  <si>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</si>
  <si>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</si>
  <si>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</si>
  <si>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</si>
  <si>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</si>
  <si>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</si>
  <si>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</si>
  <si>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</si>
  <si>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</si>
  <si>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</si>
  <si>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Kapitał własny na dzień  01.01.2012 r.</t>
  </si>
  <si>
    <t>Dynamika (PLN)</t>
  </si>
  <si>
    <t>2013 PLN</t>
  </si>
  <si>
    <t>2012 PLN</t>
  </si>
  <si>
    <t>2013 EUR</t>
  </si>
  <si>
    <t>2012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</si>
  <si>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</si>
  <si>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</si>
  <si>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</si>
  <si>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</si>
  <si>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</si>
  <si>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</si>
  <si>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</si>
  <si>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</si>
  <si>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</si>
  <si>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</si>
  <si>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</si>
  <si>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</si>
  <si>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</si>
  <si>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</si>
  <si>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</si>
  <si>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</si>
  <si>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</si>
  <si>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</si>
  <si>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</si>
  <si>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</si>
  <si>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</si>
  <si>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</si>
  <si>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</si>
  <si>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</si>
  <si>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</si>
  <si>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</si>
  <si>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</si>
  <si>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</si>
  <si>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</si>
  <si>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</si>
  <si>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</si>
  <si>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</si>
  <si>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</si>
  <si>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</si>
  <si>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</si>
  <si>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</si>
  <si>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</si>
  <si>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</si>
  <si>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I. Wpływy</t>
  </si>
  <si>
    <t>1. Zbycie wartości niematerialnych i prawnych oraz rzeczowych aktywów trwałych</t>
  </si>
  <si>
    <t>2. Zbycie inwestycji w nieruchomości oraz wartości niematerialne i prawne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</si>
  <si>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</si>
  <si>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</si>
  <si>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</si>
  <si>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niematerialane i prawne</t>
  </si>
  <si>
    <t>3. Na aktywa finansowe, w tym: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</si>
  <si>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</si>
  <si>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</si>
  <si>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</si>
  <si>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</si>
  <si>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</si>
  <si>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</si>
  <si>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F. Środki pieniężne na początek okresu</t>
  </si>
  <si>
    <t>G. Środki pieniężne na koniec okresu (F+D), w tym</t>
  </si>
  <si>
    <t>– o ograniczonej mozliwości dysponowania</t>
  </si>
  <si>
    <t>A. DZIAŁALNOŚĆ OPERACYJNA</t>
  </si>
  <si>
    <t>B. DZIAŁALNOŚĆ INWESTYCYJNA</t>
  </si>
  <si>
    <t>C. DZIAŁALNOŚĆ FINANSOWA</t>
  </si>
  <si>
    <t>za okres 01.10.2013 - 31.12.2013</t>
  </si>
  <si>
    <t>za okres 01.10.2012 - 31.12.2012</t>
  </si>
  <si>
    <t>za okres 01.01.2013 - 31.12.2013</t>
  </si>
  <si>
    <t>za okres 01.01.2012 - 31.12.2012</t>
  </si>
  <si>
    <t>stan na 31.12.2013 r.</t>
  </si>
  <si>
    <t>stan na 31.12.2012 r.</t>
  </si>
  <si>
    <t>dwanaście miesięcy zakończonych 31.12.2013 r.</t>
  </si>
  <si>
    <t>dwanaście miesięcy zakończonych 31.12.2012 r.</t>
  </si>
  <si>
    <t>Kapitał własny na dzień  31.12.2013 r.</t>
  </si>
  <si>
    <t>Kapitał własny na dzień  31.12.2012 r.</t>
  </si>
  <si>
    <t>4Q</t>
  </si>
  <si>
    <t>1-4Q</t>
  </si>
  <si>
    <t>31.12</t>
  </si>
  <si>
    <t>1 - 4 Q</t>
  </si>
  <si>
    <t>I. Zysk (strata) przed opodatkowaniem</t>
  </si>
  <si>
    <t>3. Z aktywów finansowych</t>
  </si>
  <si>
    <t>(31.12.)</t>
  </si>
  <si>
    <t>1-4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</si>
</sst>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"/>
    <numFmt numFmtId="165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/>
      <right/>
      <top style="double">
        <color rgb="FF808080"/>
      </top>
      <bottom/>
      <diagonal/>
    </border>
    <border>
      <left/>
      <right style="double">
        <color theme="0" tint="-0.499984740745262"/>
      </right>
      <top style="double">
        <color rgb="FF80808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49" fontId="3" fillId="2" borderId="2" xfId="2" applyNumberFormat="1" applyFont="1" applyFill="1" applyBorder="1" applyAlignment="1">
      <alignment vertical="center" wrapText="1"/>
    </xf>
    <xf numFmtId="4" fontId="3" fillId="2" borderId="3" xfId="2" applyNumberFormat="1" applyFont="1" applyFill="1" applyBorder="1" applyAlignment="1">
      <alignment horizontal="right" vertical="center" wrapText="1"/>
    </xf>
    <xf numFmtId="4" fontId="3" fillId="2" borderId="4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2" borderId="2" xfId="2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left" vertical="center" wrapText="1"/>
    </xf>
    <xf numFmtId="49" fontId="3" fillId="2" borderId="5" xfId="2" applyNumberFormat="1" applyFont="1" applyFill="1" applyBorder="1" applyAlignment="1">
      <alignment horizontal="left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4" fontId="3" fillId="2" borderId="8" xfId="2" applyNumberFormat="1" applyFont="1" applyFill="1" applyBorder="1" applyAlignment="1">
      <alignment horizontal="right" vertical="center" wrapText="1"/>
    </xf>
    <xf numFmtId="4" fontId="3" fillId="2" borderId="9" xfId="2" applyNumberFormat="1" applyFont="1" applyFill="1" applyBorder="1" applyAlignment="1">
      <alignment horizontal="right" vertical="center" wrapText="1"/>
    </xf>
    <xf numFmtId="49" fontId="3" fillId="3" borderId="2" xfId="2" applyNumberFormat="1" applyFont="1" applyFill="1" applyBorder="1" applyAlignment="1">
      <alignment vertical="center" wrapText="1"/>
    </xf>
    <xf numFmtId="0" fontId="3" fillId="3" borderId="2" xfId="0" applyFont="1" applyFill="1" applyBorder="1"/>
    <xf numFmtId="49" fontId="3" fillId="3" borderId="5" xfId="2" applyNumberFormat="1" applyFont="1" applyFill="1" applyBorder="1" applyAlignment="1">
      <alignment vertical="center" wrapText="1"/>
    </xf>
    <xf numFmtId="4" fontId="3" fillId="3" borderId="3" xfId="2" applyNumberFormat="1" applyFont="1" applyFill="1" applyBorder="1" applyAlignment="1">
      <alignment horizontal="right" vertical="center" wrapText="1"/>
    </xf>
    <xf numFmtId="4" fontId="3" fillId="3" borderId="4" xfId="2" applyNumberFormat="1" applyFont="1" applyFill="1" applyBorder="1" applyAlignment="1">
      <alignment horizontal="right" vertical="center" wrapText="1"/>
    </xf>
    <xf numFmtId="4" fontId="3" fillId="3" borderId="6" xfId="2" applyNumberFormat="1" applyFont="1" applyFill="1" applyBorder="1" applyAlignment="1">
      <alignment horizontal="right" vertical="center" wrapText="1"/>
    </xf>
    <xf numFmtId="4" fontId="3" fillId="3" borderId="7" xfId="2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3" fillId="3" borderId="3" xfId="2" applyNumberFormat="1" applyFont="1" applyFill="1" applyBorder="1" applyAlignment="1">
      <alignment vertical="center" wrapText="1"/>
    </xf>
    <xf numFmtId="4" fontId="3" fillId="3" borderId="4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4" fontId="4" fillId="0" borderId="7" xfId="2" applyNumberFormat="1" applyFont="1" applyBorder="1"/>
    <xf numFmtId="0" fontId="4" fillId="0" borderId="2" xfId="2" applyFont="1" applyBorder="1"/>
    <xf numFmtId="0" fontId="4" fillId="2" borderId="5" xfId="2" applyFont="1" applyFill="1" applyBorder="1"/>
    <xf numFmtId="4" fontId="5" fillId="2" borderId="3" xfId="2" applyNumberFormat="1" applyFont="1" applyFill="1" applyBorder="1" applyAlignment="1">
      <alignment horizontal="right" vertical="center" wrapText="1"/>
    </xf>
    <xf numFmtId="4" fontId="5" fillId="2" borderId="4" xfId="2" applyNumberFormat="1" applyFont="1" applyFill="1" applyBorder="1" applyAlignment="1">
      <alignment horizontal="right" vertical="center" wrapText="1"/>
    </xf>
    <xf numFmtId="4" fontId="5" fillId="2" borderId="6" xfId="2" applyNumberFormat="1" applyFont="1" applyFill="1" applyBorder="1" applyAlignment="1">
      <alignment horizontal="right" vertical="center" wrapText="1"/>
    </xf>
    <xf numFmtId="4" fontId="5" fillId="2" borderId="7" xfId="2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3" borderId="2" xfId="0" applyNumberFormat="1" applyFont="1" applyFill="1" applyBorder="1" applyAlignment="1" applyProtection="1">
      <alignment horizontal="left" vertical="center" wrapText="1"/>
    </xf>
    <xf numFmtId="4" fontId="3" fillId="3" borderId="3" xfId="0" applyNumberFormat="1" applyFont="1" applyFill="1" applyBorder="1" applyAlignment="1" applyProtection="1">
      <alignment horizontal="right" vertical="center"/>
    </xf>
    <xf numFmtId="4" fontId="3" fillId="3" borderId="4" xfId="0" applyNumberFormat="1" applyFont="1" applyFill="1" applyBorder="1" applyAlignment="1" applyProtection="1">
      <alignment horizontal="right" vertical="center"/>
    </xf>
    <xf numFmtId="4" fontId="3" fillId="3" borderId="5" xfId="0" applyNumberFormat="1" applyFont="1" applyFill="1" applyBorder="1" applyAlignment="1" applyProtection="1">
      <alignment horizontal="left" vertical="center" wrapText="1"/>
    </xf>
    <xf numFmtId="4" fontId="3" fillId="3" borderId="6" xfId="0" applyNumberFormat="1" applyFont="1" applyFill="1" applyBorder="1" applyAlignment="1" applyProtection="1">
      <alignment horizontal="right" vertical="center"/>
    </xf>
    <xf numFmtId="4" fontId="3" fillId="3" borderId="7" xfId="0" applyNumberFormat="1" applyFont="1" applyFill="1" applyBorder="1" applyAlignment="1" applyProtection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2" fontId="7" fillId="0" borderId="20" xfId="1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24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right"/>
    </xf>
    <xf numFmtId="0" fontId="8" fillId="3" borderId="22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4" fillId="0" borderId="5" xfId="2" applyFont="1" applyBorder="1"/>
    <xf numFmtId="0" fontId="8" fillId="3" borderId="2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164" fontId="11" fillId="0" borderId="35" xfId="0" applyNumberFormat="1" applyFont="1" applyBorder="1" applyAlignment="1">
      <alignment horizontal="center" vertical="center"/>
    </xf>
    <xf numFmtId="4" fontId="7" fillId="5" borderId="20" xfId="0" applyNumberFormat="1" applyFont="1" applyFill="1" applyBorder="1" applyAlignment="1">
      <alignment horizontal="center" wrapText="1"/>
    </xf>
    <xf numFmtId="4" fontId="0" fillId="0" borderId="0" xfId="0" applyNumberForma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2" fontId="7" fillId="4" borderId="20" xfId="1" applyNumberFormat="1" applyFont="1" applyFill="1" applyBorder="1" applyAlignment="1">
      <alignment horizontal="center" vertical="center"/>
    </xf>
    <xf numFmtId="0" fontId="12" fillId="0" borderId="0" xfId="0" applyFont="1"/>
    <xf numFmtId="0" fontId="3" fillId="3" borderId="30" xfId="3" applyFont="1" applyFill="1" applyBorder="1" applyAlignment="1">
      <alignment horizontal="left" vertical="center" wrapText="1"/>
    </xf>
    <xf numFmtId="0" fontId="12" fillId="3" borderId="17" xfId="0" applyFont="1" applyFill="1" applyBorder="1"/>
    <xf numFmtId="0" fontId="12" fillId="3" borderId="32" xfId="0" applyFont="1" applyFill="1" applyBorder="1"/>
    <xf numFmtId="0" fontId="3" fillId="0" borderId="30" xfId="3" applyFont="1" applyFill="1" applyBorder="1" applyAlignment="1">
      <alignment vertical="center" wrapText="1"/>
    </xf>
    <xf numFmtId="0" fontId="4" fillId="0" borderId="30" xfId="3" applyFont="1" applyFill="1" applyBorder="1" applyAlignment="1">
      <alignment horizontal="left" vertical="center" wrapText="1" indent="4"/>
    </xf>
    <xf numFmtId="0" fontId="3" fillId="3" borderId="30" xfId="3" applyFont="1" applyFill="1" applyBorder="1" applyAlignment="1">
      <alignment vertical="center" wrapText="1"/>
    </xf>
    <xf numFmtId="0" fontId="4" fillId="0" borderId="30" xfId="3" applyFont="1" applyFill="1" applyBorder="1" applyAlignment="1">
      <alignment horizontal="left" vertical="center" wrapText="1" indent="8"/>
    </xf>
    <xf numFmtId="0" fontId="4" fillId="0" borderId="33" xfId="3" applyFont="1" applyFill="1" applyBorder="1" applyAlignment="1">
      <alignment horizontal="left" vertical="center" wrapText="1" indent="8"/>
    </xf>
    <xf numFmtId="0" fontId="0" fillId="0" borderId="0" xfId="0" applyFill="1"/>
    <xf numFmtId="49" fontId="3" fillId="0" borderId="11" xfId="2" applyNumberFormat="1" applyFont="1" applyFill="1" applyBorder="1" applyAlignment="1">
      <alignment horizontal="left" vertical="center" wrapText="1"/>
    </xf>
    <xf numFmtId="0" fontId="3" fillId="3" borderId="36" xfId="3" applyFont="1" applyFill="1" applyBorder="1" applyAlignment="1">
      <alignment horizontal="left" vertical="center" wrapText="1"/>
    </xf>
    <xf numFmtId="4" fontId="5" fillId="2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3" fillId="5" borderId="3" xfId="2" applyNumberFormat="1" applyFont="1" applyFill="1" applyBorder="1" applyAlignment="1">
      <alignment horizontal="right" vertical="center" wrapText="1"/>
    </xf>
    <xf numFmtId="4" fontId="3" fillId="5" borderId="4" xfId="2" applyNumberFormat="1" applyFont="1" applyFill="1" applyBorder="1" applyAlignment="1">
      <alignment horizontal="right" vertical="center" wrapText="1"/>
    </xf>
    <xf numFmtId="4" fontId="3" fillId="2" borderId="6" xfId="2" applyNumberFormat="1" applyFont="1" applyFill="1" applyBorder="1" applyAlignment="1" applyProtection="1">
      <alignment horizontal="right" vertical="center" wrapText="1"/>
      <protection locked="0"/>
    </xf>
    <xf numFmtId="4" fontId="3" fillId="2" borderId="7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2" applyNumberFormat="1" applyFont="1" applyFill="1" applyBorder="1" applyAlignment="1">
      <alignment horizontal="right" vertical="center" wrapText="1"/>
    </xf>
    <xf numFmtId="4" fontId="3" fillId="0" borderId="4" xfId="2" applyNumberFormat="1" applyFont="1" applyFill="1" applyBorder="1" applyAlignment="1">
      <alignment horizontal="right" vertical="center" wrapText="1"/>
    </xf>
    <xf numFmtId="0" fontId="6" fillId="7" borderId="29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vertical="center"/>
    </xf>
    <xf numFmtId="4" fontId="7" fillId="0" borderId="44" xfId="0" applyNumberFormat="1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left" vertical="center"/>
    </xf>
    <xf numFmtId="4" fontId="7" fillId="4" borderId="44" xfId="0" applyNumberFormat="1" applyFont="1" applyFill="1" applyBorder="1" applyAlignment="1">
      <alignment horizontal="center" vertical="center"/>
    </xf>
    <xf numFmtId="4" fontId="7" fillId="4" borderId="44" xfId="0" applyNumberFormat="1" applyFont="1" applyFill="1" applyBorder="1" applyAlignment="1">
      <alignment horizontal="center" wrapText="1"/>
    </xf>
    <xf numFmtId="4" fontId="7" fillId="0" borderId="44" xfId="0" applyNumberFormat="1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left" vertical="center"/>
    </xf>
    <xf numFmtId="4" fontId="7" fillId="4" borderId="48" xfId="0" applyNumberFormat="1" applyFont="1" applyFill="1" applyBorder="1" applyAlignment="1">
      <alignment horizontal="right"/>
    </xf>
    <xf numFmtId="4" fontId="7" fillId="4" borderId="49" xfId="0" applyNumberFormat="1" applyFont="1" applyFill="1" applyBorder="1" applyAlignment="1">
      <alignment horizontal="center" wrapText="1"/>
    </xf>
    <xf numFmtId="4" fontId="7" fillId="4" borderId="50" xfId="0" applyNumberFormat="1" applyFont="1" applyFill="1" applyBorder="1" applyAlignment="1">
      <alignment horizontal="center" wrapText="1"/>
    </xf>
    <xf numFmtId="0" fontId="6" fillId="4" borderId="45" xfId="0" applyFont="1" applyFill="1" applyBorder="1" applyAlignment="1">
      <alignment horizontal="justify" vertical="center"/>
    </xf>
    <xf numFmtId="10" fontId="7" fillId="4" borderId="21" xfId="0" applyNumberFormat="1" applyFont="1" applyFill="1" applyBorder="1" applyAlignment="1">
      <alignment horizontal="center" vertical="center"/>
    </xf>
    <xf numFmtId="10" fontId="10" fillId="4" borderId="21" xfId="0" applyNumberFormat="1" applyFont="1" applyFill="1" applyBorder="1" applyAlignment="1">
      <alignment horizontal="center" vertical="center"/>
    </xf>
    <xf numFmtId="10" fontId="10" fillId="4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justify" vertical="center"/>
    </xf>
    <xf numFmtId="10" fontId="7" fillId="0" borderId="21" xfId="0" applyNumberFormat="1" applyFont="1" applyFill="1" applyBorder="1" applyAlignment="1">
      <alignment horizontal="center" vertical="center"/>
    </xf>
    <xf numFmtId="10" fontId="10" fillId="0" borderId="21" xfId="0" applyNumberFormat="1" applyFont="1" applyFill="1" applyBorder="1" applyAlignment="1">
      <alignment horizontal="center" vertical="center"/>
    </xf>
    <xf numFmtId="10" fontId="10" fillId="0" borderId="44" xfId="0" applyNumberFormat="1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justify"/>
    </xf>
    <xf numFmtId="0" fontId="6" fillId="4" borderId="47" xfId="0" applyFont="1" applyFill="1" applyBorder="1" applyAlignment="1">
      <alignment horizontal="justify" vertical="center"/>
    </xf>
    <xf numFmtId="10" fontId="7" fillId="4" borderId="48" xfId="0" applyNumberFormat="1" applyFont="1" applyFill="1" applyBorder="1" applyAlignment="1">
      <alignment horizontal="center" vertical="center"/>
    </xf>
    <xf numFmtId="10" fontId="10" fillId="4" borderId="48" xfId="0" applyNumberFormat="1" applyFont="1" applyFill="1" applyBorder="1" applyAlignment="1">
      <alignment horizontal="center" vertical="center"/>
    </xf>
    <xf numFmtId="10" fontId="10" fillId="4" borderId="50" xfId="0" applyNumberFormat="1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 vertical="top"/>
    </xf>
    <xf numFmtId="0" fontId="6" fillId="7" borderId="53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3" fillId="6" borderId="17" xfId="2" applyFont="1" applyFill="1" applyBorder="1" applyAlignment="1">
      <alignment horizontal="center" vertical="center" wrapText="1"/>
    </xf>
    <xf numFmtId="0" fontId="3" fillId="6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7" borderId="17" xfId="2" applyFont="1" applyFill="1" applyBorder="1" applyAlignment="1">
      <alignment horizontal="center" vertical="center" wrapText="1"/>
    </xf>
    <xf numFmtId="0" fontId="3" fillId="7" borderId="12" xfId="2" applyFont="1" applyFill="1" applyBorder="1" applyAlignment="1">
      <alignment horizontal="center" vertical="center" wrapText="1"/>
    </xf>
    <xf numFmtId="0" fontId="12" fillId="0" borderId="27" xfId="0" applyFont="1" applyFill="1" applyBorder="1"/>
    <xf numFmtId="0" fontId="3" fillId="7" borderId="32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6" fillId="0" borderId="38" xfId="0" applyFont="1" applyFill="1" applyBorder="1" applyAlignment="1">
      <alignment horizontal="justify"/>
    </xf>
    <xf numFmtId="0" fontId="6" fillId="0" borderId="43" xfId="0" applyFont="1" applyFill="1" applyBorder="1" applyAlignment="1">
      <alignment horizontal="justify"/>
    </xf>
    <xf numFmtId="0" fontId="8" fillId="7" borderId="4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justify" vertical="top"/>
    </xf>
    <xf numFmtId="0" fontId="6" fillId="0" borderId="45" xfId="0" applyFont="1" applyFill="1" applyBorder="1" applyAlignment="1">
      <alignment horizontal="justify" vertical="top"/>
    </xf>
    <xf numFmtId="0" fontId="6" fillId="0" borderId="27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3" fillId="7" borderId="1" xfId="2" applyFont="1" applyFill="1" applyBorder="1" applyAlignment="1">
      <alignment horizontal="center" vertical="center" wrapText="1"/>
    </xf>
    <xf numFmtId="0" fontId="3" fillId="7" borderId="8" xfId="2" applyFont="1" applyFill="1" applyBorder="1" applyAlignment="1">
      <alignment horizontal="center" vertical="center" wrapText="1"/>
    </xf>
    <xf numFmtId="0" fontId="3" fillId="7" borderId="9" xfId="2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8" xfId="2" applyNumberFormat="1" applyFont="1" applyFill="1" applyBorder="1" applyAlignment="1">
      <alignment horizontal="center" vertical="center" wrapText="1"/>
    </xf>
    <xf numFmtId="49" fontId="3" fillId="7" borderId="9" xfId="2" applyNumberFormat="1" applyFont="1" applyFill="1" applyBorder="1" applyAlignment="1">
      <alignment horizontal="center" vertical="center" wrapText="1"/>
    </xf>
    <xf numFmtId="165" fontId="3" fillId="0" borderId="36" xfId="4" applyNumberFormat="1" applyFont="1" applyFill="1" applyBorder="1" applyAlignment="1">
      <alignment vertical="center" wrapText="1"/>
    </xf>
    <xf numFmtId="165" fontId="12" fillId="0" borderId="17" xfId="4" applyNumberFormat="1" applyFont="1" applyBorder="1" applyAlignment="1">
      <alignment horizontal="right" vertical="center"/>
    </xf>
    <xf numFmtId="165" fontId="12" fillId="0" borderId="32" xfId="4" applyNumberFormat="1" applyFont="1" applyBorder="1" applyAlignment="1">
      <alignment horizontal="right" vertical="center"/>
    </xf>
    <xf numFmtId="165" fontId="3" fillId="0" borderId="54" xfId="4" applyNumberFormat="1" applyFont="1" applyFill="1" applyBorder="1" applyAlignment="1">
      <alignment vertical="center" wrapText="1"/>
    </xf>
    <xf numFmtId="165" fontId="4" fillId="0" borderId="32" xfId="4" applyNumberFormat="1" applyFont="1" applyFill="1" applyBorder="1" applyAlignment="1">
      <alignment horizontal="right" vertical="center"/>
    </xf>
    <xf numFmtId="165" fontId="12" fillId="0" borderId="17" xfId="4" applyNumberFormat="1" applyFont="1" applyBorder="1" applyAlignment="1">
      <alignment vertical="center"/>
    </xf>
    <xf numFmtId="165" fontId="12" fillId="0" borderId="32" xfId="4" applyNumberFormat="1" applyFont="1" applyBorder="1" applyAlignment="1">
      <alignment vertical="center"/>
    </xf>
    <xf numFmtId="165" fontId="3" fillId="0" borderId="36" xfId="4" applyNumberFormat="1" applyFont="1" applyFill="1" applyBorder="1" applyAlignment="1">
      <alignment horizontal="right" vertical="center" wrapText="1"/>
    </xf>
    <xf numFmtId="165" fontId="3" fillId="0" borderId="54" xfId="4" applyNumberFormat="1" applyFont="1" applyFill="1" applyBorder="1" applyAlignment="1">
      <alignment horizontal="right" vertical="center" wrapText="1"/>
    </xf>
    <xf numFmtId="165" fontId="3" fillId="3" borderId="36" xfId="4" applyNumberFormat="1" applyFont="1" applyFill="1" applyBorder="1" applyAlignment="1">
      <alignment horizontal="right" vertical="center" wrapText="1"/>
    </xf>
    <xf numFmtId="165" fontId="3" fillId="3" borderId="32" xfId="4" applyNumberFormat="1" applyFont="1" applyFill="1" applyBorder="1" applyAlignment="1">
      <alignment horizontal="right" vertical="center" wrapText="1"/>
    </xf>
    <xf numFmtId="165" fontId="12" fillId="3" borderId="17" xfId="4" applyNumberFormat="1" applyFont="1" applyFill="1" applyBorder="1" applyAlignment="1">
      <alignment horizontal="right" vertical="center"/>
    </xf>
    <xf numFmtId="165" fontId="12" fillId="3" borderId="32" xfId="4" applyNumberFormat="1" applyFont="1" applyFill="1" applyBorder="1" applyAlignment="1">
      <alignment horizontal="right" vertical="center"/>
    </xf>
    <xf numFmtId="165" fontId="3" fillId="0" borderId="32" xfId="4" applyNumberFormat="1" applyFont="1" applyFill="1" applyBorder="1" applyAlignment="1">
      <alignment horizontal="right" vertical="center" wrapText="1"/>
    </xf>
    <xf numFmtId="165" fontId="3" fillId="3" borderId="54" xfId="4" applyNumberFormat="1" applyFont="1" applyFill="1" applyBorder="1" applyAlignment="1">
      <alignment horizontal="right" vertical="center" wrapText="1"/>
    </xf>
    <xf numFmtId="165" fontId="12" fillId="3" borderId="17" xfId="4" applyNumberFormat="1" applyFont="1" applyFill="1" applyBorder="1" applyAlignment="1">
      <alignment horizontal="right"/>
    </xf>
    <xf numFmtId="165" fontId="12" fillId="3" borderId="32" xfId="4" applyNumberFormat="1" applyFont="1" applyFill="1" applyBorder="1" applyAlignment="1">
      <alignment horizontal="right"/>
    </xf>
    <xf numFmtId="165" fontId="13" fillId="3" borderId="32" xfId="4" applyNumberFormat="1" applyFont="1" applyFill="1" applyBorder="1" applyAlignment="1">
      <alignment horizontal="right" vertical="center"/>
    </xf>
    <xf numFmtId="165" fontId="13" fillId="3" borderId="17" xfId="4" applyNumberFormat="1" applyFont="1" applyFill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165" fontId="12" fillId="0" borderId="35" xfId="4" applyNumberFormat="1" applyFont="1" applyBorder="1" applyAlignment="1">
      <alignment horizontal="right" vertical="center"/>
    </xf>
    <xf numFmtId="165" fontId="4" fillId="0" borderId="36" xfId="4" applyNumberFormat="1" applyFont="1" applyFill="1" applyBorder="1" applyAlignment="1">
      <alignment horizontal="right" vertical="center" wrapText="1"/>
    </xf>
    <xf numFmtId="165" fontId="4" fillId="0" borderId="36" xfId="4" applyNumberFormat="1" applyFont="1" applyFill="1" applyBorder="1" applyAlignment="1">
      <alignment vertical="center" wrapText="1"/>
    </xf>
    <xf numFmtId="165" fontId="12" fillId="0" borderId="17" xfId="4" applyNumberFormat="1" applyFont="1" applyBorder="1" applyAlignment="1"/>
    <xf numFmtId="165" fontId="12" fillId="0" borderId="32" xfId="4" applyNumberFormat="1" applyFont="1" applyBorder="1" applyAlignment="1"/>
    <xf numFmtId="165" fontId="4" fillId="0" borderId="37" xfId="4" applyNumberFormat="1" applyFont="1" applyFill="1" applyBorder="1" applyAlignment="1">
      <alignment horizontal="right" vertical="center" wrapText="1"/>
    </xf>
    <xf numFmtId="165" fontId="13" fillId="3" borderId="58" xfId="4" applyNumberFormat="1" applyFont="1" applyFill="1" applyBorder="1" applyAlignment="1">
      <alignment horizontal="right" vertical="center"/>
    </xf>
  </cellXfs>
  <cellStyles count="5">
    <cellStyle name="Dziesiętny" xfId="4" builtinId="3"/>
    <cellStyle name="Normalny" xfId="0" builtinId="0"/>
    <cellStyle name="Normalny_bilans_przekształceń" xfId="2"/>
    <cellStyle name="Normalny_Skonsolidowane sprawozdanie finansow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AppData/Local/Temp/tabele-3kw.S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rkusz1"/>
      <sheetName val="wybrane dane finansowe"/>
      <sheetName val="lista standardów"/>
      <sheetName val="RZiS"/>
      <sheetName val="Skr. spr. z cał. dochodów"/>
      <sheetName val="Aktywa"/>
      <sheetName val="Pasywa"/>
      <sheetName val="ZZwK"/>
      <sheetName val="RPP"/>
      <sheetName val="dodatkowe tabelki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Rzeczowe aktywa trwałe"/>
      <sheetName val="NOTA 13 -Wartości niematerialne"/>
      <sheetName val="NOTA 14 -Wartość firmy"/>
      <sheetName val="NOTA 15 - Nieruchomości inwest"/>
      <sheetName val="NOTA 16 -Akcje i udziały"/>
      <sheetName val="NOTA 17 - Poz.akt.trw"/>
      <sheetName val="NOTA 18,19,20 akt.fin+pozostałe"/>
      <sheetName val="NOTA 21 - Zapasy"/>
      <sheetName val="NOTA 22 - Umowy długoterminowe"/>
      <sheetName val="NOTA 23,24 - Należności"/>
      <sheetName val="NOTA 25 - RMK"/>
      <sheetName val="NOTA 26 - Środki pieniężne"/>
      <sheetName val="NOTA 27,28,29,30,31 - Kapitały"/>
      <sheetName val="NOTA 32,33 - Kredyty i pożyczki"/>
      <sheetName val="NOTA 34, 35 -Zob finans"/>
      <sheetName val="NOTA 36 - Inne zob. długoterm."/>
      <sheetName val="NOTA 37,38 - Zob. hand. i pozos"/>
      <sheetName val="NOTA 39,40 - ZFŚS, Zob. warunko"/>
      <sheetName val="NOTA 41 - Leasing"/>
      <sheetName val="NOTA 42 - RMP"/>
      <sheetName val="NOTA 43,44 - Rezerwy"/>
      <sheetName val="NOTA 45 - Zarządzanie ryzykiem"/>
      <sheetName val="NOTA 46 - Instrumenty finansowe"/>
      <sheetName val="NOTA 47 - Zarządzanie kapitałem"/>
      <sheetName val="NOTA 48 Świadczenia pracownicze"/>
      <sheetName val="NOTA 49 - Podmioty powiązane"/>
      <sheetName val="NOTA 50 - Wynagrodzenie kadry "/>
      <sheetName val="NOTA 51 -Umowy leasingu op"/>
      <sheetName val="NOTA 52 - Aktywowane koszty"/>
      <sheetName val="NOTA 53,54,55,56,57,58,59"/>
      <sheetName val="NOTA 60 - Wynagrodzenie BR"/>
      <sheetName val="NOTA 61 - Objasnienia do RPP"/>
      <sheetName val="NOTA 62 - Przejście na MSR,MSSF"/>
      <sheetName val="inne"/>
      <sheetName val="NOTA 56 - Sprawozdanie skonsol."/>
      <sheetName val="Arkusz2"/>
    </sheetNames>
    <sheetDataSet>
      <sheetData sheetId="0" refreshError="1">
        <row r="8">
          <cell r="B8" t="str">
            <v>01.01.2013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/>
  </sheetViews>
  <sheetFormatPr defaultRowHeight="15" x14ac:dyDescent="0.25"/>
  <cols>
    <col min="1" max="1" width="4.140625" customWidth="1"/>
    <col min="2" max="2" width="52.28515625" customWidth="1"/>
    <col min="3" max="4" width="12.5703125" customWidth="1"/>
    <col min="5" max="5" width="9.7109375" bestFit="1" customWidth="1"/>
    <col min="6" max="6" width="12" customWidth="1"/>
  </cols>
  <sheetData>
    <row r="1" spans="2:6" ht="15.75" thickBot="1" x14ac:dyDescent="0.3"/>
    <row r="2" spans="2:6" ht="16.5" thickTop="1" thickBot="1" x14ac:dyDescent="0.3">
      <c r="C2" s="134" t="s">
        <v>29</v>
      </c>
      <c r="D2" s="135"/>
      <c r="E2" s="135"/>
      <c r="F2" s="136"/>
    </row>
    <row r="3" spans="2:6" ht="34.5" thickTop="1" x14ac:dyDescent="0.25">
      <c r="B3" s="127"/>
      <c r="C3" s="128" t="s">
        <v>162</v>
      </c>
      <c r="D3" s="128" t="s">
        <v>163</v>
      </c>
      <c r="E3" s="125" t="s">
        <v>164</v>
      </c>
      <c r="F3" s="126" t="s">
        <v>165</v>
      </c>
    </row>
    <row r="4" spans="2:6" x14ac:dyDescent="0.25">
      <c r="B4" s="1" t="s">
        <v>0</v>
      </c>
      <c r="C4" s="14">
        <f>C5+C6</f>
        <v>555</v>
      </c>
      <c r="D4" s="15">
        <v>561.3599999999999</v>
      </c>
      <c r="E4" s="14">
        <f>E5+E6</f>
        <v>1025.21</v>
      </c>
      <c r="F4" s="15">
        <f>F6+F5</f>
        <v>1049.04</v>
      </c>
    </row>
    <row r="5" spans="2:6" x14ac:dyDescent="0.25">
      <c r="B5" s="4" t="s">
        <v>1</v>
      </c>
      <c r="C5" s="5">
        <v>555</v>
      </c>
      <c r="D5" s="6">
        <v>561.3599999999999</v>
      </c>
      <c r="E5" s="5">
        <v>1025.21</v>
      </c>
      <c r="F5" s="6">
        <v>1049.04</v>
      </c>
    </row>
    <row r="6" spans="2:6" x14ac:dyDescent="0.25">
      <c r="B6" s="4" t="s">
        <v>2</v>
      </c>
      <c r="C6" s="5">
        <v>0</v>
      </c>
      <c r="D6" s="6">
        <v>0</v>
      </c>
      <c r="E6" s="5">
        <v>0</v>
      </c>
      <c r="F6" s="6">
        <v>0</v>
      </c>
    </row>
    <row r="7" spans="2:6" x14ac:dyDescent="0.25">
      <c r="B7" s="1" t="s">
        <v>3</v>
      </c>
      <c r="C7" s="14">
        <f>C8+C9</f>
        <v>0</v>
      </c>
      <c r="D7" s="15">
        <v>-3.6000000000013799E-4</v>
      </c>
      <c r="E7" s="14">
        <f>E8+E9</f>
        <v>1.1599999999999999</v>
      </c>
      <c r="F7" s="15">
        <f>F9+F8</f>
        <v>3.3109999999999999</v>
      </c>
    </row>
    <row r="8" spans="2:6" x14ac:dyDescent="0.25">
      <c r="B8" s="4" t="s">
        <v>4</v>
      </c>
      <c r="C8" s="5">
        <v>0</v>
      </c>
      <c r="D8" s="6">
        <v>-3.6000000000013799E-4</v>
      </c>
      <c r="E8" s="5">
        <v>1.1599999999999999</v>
      </c>
      <c r="F8" s="6">
        <v>3.3109999999999999</v>
      </c>
    </row>
    <row r="9" spans="2:6" x14ac:dyDescent="0.25">
      <c r="B9" s="4" t="s">
        <v>5</v>
      </c>
      <c r="C9" s="5">
        <v>0</v>
      </c>
      <c r="D9" s="6">
        <v>0</v>
      </c>
      <c r="E9" s="5">
        <v>0</v>
      </c>
      <c r="F9" s="6">
        <v>0</v>
      </c>
    </row>
    <row r="10" spans="2:6" x14ac:dyDescent="0.25">
      <c r="B10" s="11" t="s">
        <v>6</v>
      </c>
      <c r="C10" s="2">
        <f>C4-C7</f>
        <v>555</v>
      </c>
      <c r="D10" s="3">
        <v>561.36036000000001</v>
      </c>
      <c r="E10" s="2">
        <f t="shared" ref="E10:F10" si="0">E4-E7</f>
        <v>1024.05</v>
      </c>
      <c r="F10" s="3">
        <f t="shared" si="0"/>
        <v>1045.729</v>
      </c>
    </row>
    <row r="11" spans="2:6" x14ac:dyDescent="0.25">
      <c r="B11" s="4" t="s">
        <v>7</v>
      </c>
      <c r="C11" s="5">
        <v>0</v>
      </c>
      <c r="D11" s="6">
        <v>0</v>
      </c>
      <c r="E11" s="5">
        <v>0</v>
      </c>
      <c r="F11" s="6">
        <v>0</v>
      </c>
    </row>
    <row r="12" spans="2:6" x14ac:dyDescent="0.25">
      <c r="B12" s="7" t="s">
        <v>8</v>
      </c>
      <c r="C12" s="5">
        <v>0.1</v>
      </c>
      <c r="D12" s="6">
        <v>0.63902000000000037</v>
      </c>
      <c r="E12" s="5">
        <v>3.73</v>
      </c>
      <c r="F12" s="6">
        <v>6.32</v>
      </c>
    </row>
    <row r="13" spans="2:6" x14ac:dyDescent="0.25">
      <c r="B13" s="7" t="s">
        <v>9</v>
      </c>
      <c r="C13" s="5">
        <v>0</v>
      </c>
      <c r="D13" s="6">
        <v>0</v>
      </c>
      <c r="E13" s="5">
        <v>0</v>
      </c>
      <c r="F13" s="6">
        <v>0</v>
      </c>
    </row>
    <row r="14" spans="2:6" x14ac:dyDescent="0.25">
      <c r="B14" s="7" t="s">
        <v>10</v>
      </c>
      <c r="C14" s="5">
        <v>254.88</v>
      </c>
      <c r="D14" s="6">
        <v>310.41768999999988</v>
      </c>
      <c r="E14" s="5">
        <v>943.87</v>
      </c>
      <c r="F14" s="6">
        <v>1006.27</v>
      </c>
    </row>
    <row r="15" spans="2:6" x14ac:dyDescent="0.25">
      <c r="B15" s="7" t="s">
        <v>11</v>
      </c>
      <c r="C15" s="5">
        <v>0</v>
      </c>
      <c r="D15" s="6">
        <v>0</v>
      </c>
      <c r="E15" s="5">
        <v>0</v>
      </c>
      <c r="F15" s="6">
        <v>0</v>
      </c>
    </row>
    <row r="16" spans="2:6" x14ac:dyDescent="0.25">
      <c r="B16" s="7" t="s">
        <v>12</v>
      </c>
      <c r="C16" s="5">
        <v>2.0499999999999998</v>
      </c>
      <c r="D16" s="6">
        <v>9.3999999999999986E-4</v>
      </c>
      <c r="E16" s="5">
        <v>3.9</v>
      </c>
      <c r="F16" s="6">
        <v>0.01</v>
      </c>
    </row>
    <row r="17" spans="2:8" x14ac:dyDescent="0.25">
      <c r="B17" s="11" t="s">
        <v>13</v>
      </c>
      <c r="C17" s="2">
        <f>C10+C11+C12-C13-C14-C15-C16</f>
        <v>298.17</v>
      </c>
      <c r="D17" s="3">
        <v>251.58075000000005</v>
      </c>
      <c r="E17" s="2">
        <f t="shared" ref="E17:F17" si="1">E10+E11+E12-E13-E14-E15-E16</f>
        <v>80.009999999999962</v>
      </c>
      <c r="F17" s="3">
        <f t="shared" si="1"/>
        <v>45.768999999999998</v>
      </c>
    </row>
    <row r="18" spans="2:8" x14ac:dyDescent="0.25">
      <c r="B18" s="7" t="s">
        <v>14</v>
      </c>
      <c r="C18" s="5">
        <v>0.46</v>
      </c>
      <c r="D18" s="6">
        <v>1866.3198499999999</v>
      </c>
      <c r="E18" s="5">
        <v>703.92</v>
      </c>
      <c r="F18" s="6">
        <v>1866.32</v>
      </c>
    </row>
    <row r="19" spans="2:8" x14ac:dyDescent="0.25">
      <c r="B19" s="7" t="s">
        <v>15</v>
      </c>
      <c r="C19" s="5">
        <v>0.52</v>
      </c>
      <c r="D19" s="6">
        <v>-3.6484200000000002</v>
      </c>
      <c r="E19" s="5">
        <v>0.52</v>
      </c>
      <c r="F19" s="6">
        <v>0.02</v>
      </c>
    </row>
    <row r="20" spans="2:8" ht="22.5" x14ac:dyDescent="0.25">
      <c r="B20" s="7" t="s">
        <v>16</v>
      </c>
      <c r="C20" s="5">
        <v>0</v>
      </c>
      <c r="D20" s="6">
        <v>0</v>
      </c>
      <c r="E20" s="5">
        <v>0</v>
      </c>
      <c r="F20" s="6">
        <v>0</v>
      </c>
    </row>
    <row r="21" spans="2:8" x14ac:dyDescent="0.25">
      <c r="B21" s="11" t="s">
        <v>17</v>
      </c>
      <c r="C21" s="2">
        <f>C17+C18-C19-C20</f>
        <v>298.11</v>
      </c>
      <c r="D21" s="3">
        <v>2121.5490199999999</v>
      </c>
      <c r="E21" s="2">
        <f t="shared" ref="E21:F21" si="2">E17+E18-E19-E20</f>
        <v>783.41</v>
      </c>
      <c r="F21" s="3">
        <f t="shared" si="2"/>
        <v>1912.069</v>
      </c>
    </row>
    <row r="22" spans="2:8" x14ac:dyDescent="0.25">
      <c r="B22" s="7" t="s">
        <v>18</v>
      </c>
      <c r="C22" s="5">
        <v>0</v>
      </c>
      <c r="D22" s="6">
        <v>17</v>
      </c>
      <c r="E22" s="5">
        <v>0</v>
      </c>
      <c r="F22" s="6">
        <v>17</v>
      </c>
    </row>
    <row r="23" spans="2:8" x14ac:dyDescent="0.25">
      <c r="B23" s="81" t="s">
        <v>19</v>
      </c>
      <c r="C23" s="13">
        <v>0</v>
      </c>
      <c r="D23" s="6">
        <v>0</v>
      </c>
      <c r="E23" s="5">
        <v>0</v>
      </c>
      <c r="F23" s="6">
        <v>0</v>
      </c>
    </row>
    <row r="24" spans="2:8" x14ac:dyDescent="0.25">
      <c r="B24" s="11" t="s">
        <v>20</v>
      </c>
      <c r="C24" s="2">
        <v>298.11</v>
      </c>
      <c r="D24" s="3">
        <v>2104.5500000000002</v>
      </c>
      <c r="E24" s="2">
        <v>783.41</v>
      </c>
      <c r="F24" s="3">
        <v>1895.07</v>
      </c>
    </row>
    <row r="25" spans="2:8" x14ac:dyDescent="0.25">
      <c r="B25" s="1" t="s">
        <v>21</v>
      </c>
      <c r="C25" s="2">
        <v>0</v>
      </c>
      <c r="D25" s="3">
        <v>0</v>
      </c>
      <c r="E25" s="2">
        <v>0</v>
      </c>
      <c r="F25" s="3">
        <v>0</v>
      </c>
    </row>
    <row r="26" spans="2:8" x14ac:dyDescent="0.25">
      <c r="B26" s="11" t="s">
        <v>22</v>
      </c>
      <c r="C26" s="2">
        <f>C21</f>
        <v>298.11</v>
      </c>
      <c r="D26" s="3">
        <f>D24</f>
        <v>2104.5500000000002</v>
      </c>
      <c r="E26" s="2">
        <f t="shared" ref="E26" si="3">E21</f>
        <v>783.41</v>
      </c>
      <c r="F26" s="3">
        <f>F24</f>
        <v>1895.07</v>
      </c>
    </row>
    <row r="27" spans="2:8" ht="16.5" customHeight="1" x14ac:dyDescent="0.25">
      <c r="B27" s="81" t="s">
        <v>23</v>
      </c>
      <c r="C27" s="13">
        <f>C26</f>
        <v>298.11</v>
      </c>
      <c r="D27" s="6">
        <f>D26</f>
        <v>2104.5500000000002</v>
      </c>
      <c r="E27" s="5">
        <f>E26</f>
        <v>783.41</v>
      </c>
      <c r="F27" s="6">
        <f>F26</f>
        <v>1895.07</v>
      </c>
    </row>
    <row r="28" spans="2:8" x14ac:dyDescent="0.25">
      <c r="B28" s="81" t="s">
        <v>19</v>
      </c>
      <c r="C28" s="13">
        <v>0</v>
      </c>
      <c r="D28" s="6">
        <v>0</v>
      </c>
      <c r="E28" s="5">
        <v>0</v>
      </c>
      <c r="F28" s="6">
        <v>0</v>
      </c>
    </row>
    <row r="29" spans="2:8" x14ac:dyDescent="0.25">
      <c r="B29" s="9" t="s">
        <v>24</v>
      </c>
      <c r="C29" s="2">
        <f>$C$27*1000/7198570</f>
        <v>4.1412391627781632E-2</v>
      </c>
      <c r="D29" s="3">
        <f>$D$27*1000/7198570</f>
        <v>0.29235667639545077</v>
      </c>
      <c r="E29" s="2">
        <f>$E$27*1000/7198570</f>
        <v>0.10882855900546914</v>
      </c>
      <c r="F29" s="3">
        <f>$F$27*1000/7198570</f>
        <v>0.26325645232316974</v>
      </c>
    </row>
    <row r="30" spans="2:8" x14ac:dyDescent="0.25">
      <c r="B30" s="10" t="s">
        <v>25</v>
      </c>
      <c r="C30" s="85">
        <f t="shared" ref="C30:C34" si="4">$C$27*1000/7198570</f>
        <v>4.1412391627781632E-2</v>
      </c>
      <c r="D30" s="86">
        <f t="shared" ref="D30:D34" si="5">$D$27*1000/7198570</f>
        <v>0.29235667639545077</v>
      </c>
      <c r="E30" s="89">
        <f t="shared" ref="E30:E34" si="6">$E$27*1000/7198570</f>
        <v>0.10882855900546914</v>
      </c>
      <c r="F30" s="90">
        <f t="shared" ref="F30:F34" si="7">$F$27*1000/7198570</f>
        <v>0.26325645232316974</v>
      </c>
    </row>
    <row r="31" spans="2:8" x14ac:dyDescent="0.25">
      <c r="B31" s="10" t="s">
        <v>26</v>
      </c>
      <c r="C31" s="85">
        <f t="shared" si="4"/>
        <v>4.1412391627781632E-2</v>
      </c>
      <c r="D31" s="86">
        <f t="shared" si="5"/>
        <v>0.29235667639545077</v>
      </c>
      <c r="E31" s="89">
        <f t="shared" si="6"/>
        <v>0.10882855900546914</v>
      </c>
      <c r="F31" s="90">
        <f t="shared" si="7"/>
        <v>0.26325645232316974</v>
      </c>
    </row>
    <row r="32" spans="2:8" ht="22.5" x14ac:dyDescent="0.25">
      <c r="B32" s="11" t="s">
        <v>27</v>
      </c>
      <c r="C32" s="2">
        <f t="shared" si="4"/>
        <v>4.1412391627781632E-2</v>
      </c>
      <c r="D32" s="3">
        <f t="shared" si="5"/>
        <v>0.29235667639545077</v>
      </c>
      <c r="E32" s="2">
        <f t="shared" si="6"/>
        <v>0.10882855900546914</v>
      </c>
      <c r="F32" s="3">
        <f t="shared" si="7"/>
        <v>0.26325645232316974</v>
      </c>
      <c r="G32" s="80"/>
      <c r="H32" s="80"/>
    </row>
    <row r="33" spans="2:8" x14ac:dyDescent="0.25">
      <c r="B33" s="4" t="s">
        <v>25</v>
      </c>
      <c r="C33" s="85">
        <f t="shared" si="4"/>
        <v>4.1412391627781632E-2</v>
      </c>
      <c r="D33" s="86">
        <f t="shared" si="5"/>
        <v>0.29235667639545077</v>
      </c>
      <c r="E33" s="89">
        <f t="shared" si="6"/>
        <v>0.10882855900546914</v>
      </c>
      <c r="F33" s="90">
        <f t="shared" si="7"/>
        <v>0.26325645232316974</v>
      </c>
      <c r="G33" s="80"/>
      <c r="H33" s="80"/>
    </row>
    <row r="34" spans="2:8" x14ac:dyDescent="0.25">
      <c r="B34" s="4" t="s">
        <v>26</v>
      </c>
      <c r="C34" s="85">
        <f t="shared" si="4"/>
        <v>4.1412391627781632E-2</v>
      </c>
      <c r="D34" s="86">
        <f t="shared" si="5"/>
        <v>0.29235667639545077</v>
      </c>
      <c r="E34" s="89">
        <f t="shared" si="6"/>
        <v>0.10882855900546914</v>
      </c>
      <c r="F34" s="90">
        <f t="shared" si="7"/>
        <v>0.26325645232316974</v>
      </c>
      <c r="G34" s="80"/>
      <c r="H34" s="80"/>
    </row>
    <row r="35" spans="2:8" ht="23.25" thickBot="1" x14ac:dyDescent="0.3">
      <c r="B35" s="12" t="s">
        <v>28</v>
      </c>
      <c r="C35" s="87">
        <v>0</v>
      </c>
      <c r="D35" s="88">
        <v>0</v>
      </c>
      <c r="E35" s="87">
        <v>0</v>
      </c>
      <c r="F35" s="88">
        <v>0</v>
      </c>
      <c r="G35" s="80"/>
      <c r="H35" s="80"/>
    </row>
    <row r="36" spans="2:8" ht="15.75" thickTop="1" x14ac:dyDescent="0.25"/>
  </sheetData>
  <mergeCells count="1">
    <mergeCell ref="C2:F2"/>
  </mergeCells>
  <pageMargins left="0.11811023622047245" right="0.11811023622047245" top="0.74803149606299213" bottom="0.74803149606299213" header="0.31496062992125984" footer="0.31496062992125984"/>
  <pageSetup paperSize="9" orientation="portrait" r:id="rId1"/>
  <ignoredErrors>
    <ignoredError sqref="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E3" sqref="E3"/>
    </sheetView>
  </sheetViews>
  <sheetFormatPr defaultRowHeight="15" x14ac:dyDescent="0.25"/>
  <cols>
    <col min="2" max="2" width="61.7109375" customWidth="1"/>
    <col min="3" max="6" width="12.5703125" customWidth="1"/>
  </cols>
  <sheetData>
    <row r="1" spans="2:6" ht="15.75" thickBot="1" x14ac:dyDescent="0.3"/>
    <row r="2" spans="2:6" ht="16.5" thickTop="1" thickBot="1" x14ac:dyDescent="0.3">
      <c r="C2" s="134" t="s">
        <v>29</v>
      </c>
      <c r="D2" s="135"/>
      <c r="E2" s="135"/>
      <c r="F2" s="136"/>
    </row>
    <row r="3" spans="2:6" ht="36.75" customHeight="1" thickTop="1" x14ac:dyDescent="0.25">
      <c r="B3" s="129"/>
      <c r="C3" s="128" t="s">
        <v>162</v>
      </c>
      <c r="D3" s="128" t="s">
        <v>163</v>
      </c>
      <c r="E3" s="130" t="s">
        <v>164</v>
      </c>
      <c r="F3" s="131" t="s">
        <v>165</v>
      </c>
    </row>
    <row r="4" spans="2:6" x14ac:dyDescent="0.25">
      <c r="B4" s="8" t="s">
        <v>22</v>
      </c>
      <c r="C4" s="83">
        <f>'RZiS LUG S.A.'!C26</f>
        <v>298.11</v>
      </c>
      <c r="D4" s="83">
        <f>'RZiS LUG S.A.'!D26</f>
        <v>2104.5500000000002</v>
      </c>
      <c r="E4" s="33">
        <f>'RZiS LUG S.A.'!E26</f>
        <v>783.41</v>
      </c>
      <c r="F4" s="34">
        <f>'RZiS LUG S.A.'!F26</f>
        <v>1895.07</v>
      </c>
    </row>
    <row r="5" spans="2:6" x14ac:dyDescent="0.25">
      <c r="B5" s="7" t="s">
        <v>77</v>
      </c>
      <c r="C5" s="5">
        <v>0</v>
      </c>
      <c r="D5" s="6">
        <v>0</v>
      </c>
      <c r="E5" s="5">
        <v>0</v>
      </c>
      <c r="F5" s="5">
        <v>0</v>
      </c>
    </row>
    <row r="6" spans="2:6" ht="22.5" x14ac:dyDescent="0.25">
      <c r="B6" s="7" t="s">
        <v>78</v>
      </c>
      <c r="C6" s="5">
        <v>0</v>
      </c>
      <c r="D6" s="6">
        <v>0</v>
      </c>
      <c r="E6" s="5">
        <v>0</v>
      </c>
      <c r="F6" s="5">
        <v>0</v>
      </c>
    </row>
    <row r="7" spans="2:6" ht="22.5" x14ac:dyDescent="0.25">
      <c r="B7" s="7" t="s">
        <v>79</v>
      </c>
      <c r="C7" s="5">
        <v>0</v>
      </c>
      <c r="D7" s="6">
        <v>0</v>
      </c>
      <c r="E7" s="5">
        <v>0</v>
      </c>
      <c r="F7" s="5">
        <v>0</v>
      </c>
    </row>
    <row r="8" spans="2:6" x14ac:dyDescent="0.25">
      <c r="B8" s="7" t="s">
        <v>80</v>
      </c>
      <c r="C8" s="5">
        <v>0</v>
      </c>
      <c r="D8" s="6">
        <v>0</v>
      </c>
      <c r="E8" s="5">
        <v>0</v>
      </c>
      <c r="F8" s="5">
        <v>0</v>
      </c>
    </row>
    <row r="9" spans="2:6" x14ac:dyDescent="0.25">
      <c r="B9" s="7" t="s">
        <v>81</v>
      </c>
      <c r="C9" s="5">
        <v>0</v>
      </c>
      <c r="D9" s="6">
        <v>0</v>
      </c>
      <c r="E9" s="5">
        <v>0</v>
      </c>
      <c r="F9" s="5">
        <v>0</v>
      </c>
    </row>
    <row r="10" spans="2:6" x14ac:dyDescent="0.25">
      <c r="B10" s="7" t="s">
        <v>82</v>
      </c>
      <c r="C10" s="5">
        <v>0</v>
      </c>
      <c r="D10" s="6">
        <v>0</v>
      </c>
      <c r="E10" s="5">
        <v>0</v>
      </c>
      <c r="F10" s="5">
        <v>0</v>
      </c>
    </row>
    <row r="11" spans="2:6" x14ac:dyDescent="0.25">
      <c r="B11" s="8" t="s">
        <v>83</v>
      </c>
      <c r="C11" s="83">
        <f>C4</f>
        <v>298.11</v>
      </c>
      <c r="D11" s="83">
        <f t="shared" ref="D11:F11" si="0">D4</f>
        <v>2104.5500000000002</v>
      </c>
      <c r="E11" s="33">
        <f t="shared" si="0"/>
        <v>783.41</v>
      </c>
      <c r="F11" s="33">
        <f t="shared" si="0"/>
        <v>1895.07</v>
      </c>
    </row>
    <row r="12" spans="2:6" x14ac:dyDescent="0.25">
      <c r="B12" s="31" t="s">
        <v>84</v>
      </c>
      <c r="C12" s="84">
        <v>0</v>
      </c>
      <c r="D12" s="84">
        <v>0</v>
      </c>
      <c r="E12" s="5">
        <v>0</v>
      </c>
      <c r="F12" s="6">
        <v>0</v>
      </c>
    </row>
    <row r="13" spans="2:6" ht="15.75" thickBot="1" x14ac:dyDescent="0.3">
      <c r="B13" s="32" t="s">
        <v>85</v>
      </c>
      <c r="C13" s="35">
        <f>C11</f>
        <v>298.11</v>
      </c>
      <c r="D13" s="36">
        <f>D11</f>
        <v>2104.5500000000002</v>
      </c>
      <c r="E13" s="35">
        <f>E11</f>
        <v>783.41</v>
      </c>
      <c r="F13" s="36">
        <f>F11</f>
        <v>1895.07</v>
      </c>
    </row>
    <row r="14" spans="2:6" ht="15.75" thickTop="1" x14ac:dyDescent="0.25"/>
  </sheetData>
  <mergeCells count="1">
    <mergeCell ref="C2:F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zoomScaleNormal="100" workbookViewId="0"/>
  </sheetViews>
  <sheetFormatPr defaultRowHeight="15" x14ac:dyDescent="0.25"/>
  <cols>
    <col min="1" max="1" width="4.42578125" customWidth="1"/>
    <col min="2" max="2" width="55.42578125" customWidth="1"/>
    <col min="3" max="4" width="13.140625" customWidth="1"/>
    <col min="5" max="5" width="19" customWidth="1"/>
  </cols>
  <sheetData>
    <row r="1" spans="2:4" ht="15.75" thickBot="1" x14ac:dyDescent="0.3"/>
    <row r="2" spans="2:4" ht="16.5" thickTop="1" thickBot="1" x14ac:dyDescent="0.3">
      <c r="C2" s="137" t="s">
        <v>29</v>
      </c>
      <c r="D2" s="138"/>
    </row>
    <row r="3" spans="2:4" ht="25.5" customHeight="1" thickTop="1" x14ac:dyDescent="0.25">
      <c r="B3" s="158" t="s">
        <v>50</v>
      </c>
      <c r="C3" s="159" t="s">
        <v>166</v>
      </c>
      <c r="D3" s="160" t="s">
        <v>167</v>
      </c>
    </row>
    <row r="4" spans="2:4" x14ac:dyDescent="0.25">
      <c r="B4" s="16" t="s">
        <v>30</v>
      </c>
      <c r="C4" s="19">
        <f>SUM(C5:C12)</f>
        <v>30574.13</v>
      </c>
      <c r="D4" s="20">
        <f>SUM(D5:D12)</f>
        <v>29620.309999999998</v>
      </c>
    </row>
    <row r="5" spans="2:4" x14ac:dyDescent="0.25">
      <c r="B5" s="7" t="s">
        <v>31</v>
      </c>
      <c r="C5" s="5">
        <v>47.87</v>
      </c>
      <c r="D5" s="6">
        <v>58.09</v>
      </c>
    </row>
    <row r="6" spans="2:4" x14ac:dyDescent="0.25">
      <c r="B6" s="7" t="s">
        <v>32</v>
      </c>
      <c r="C6" s="5">
        <v>5.4</v>
      </c>
      <c r="D6" s="6">
        <v>6.64</v>
      </c>
    </row>
    <row r="7" spans="2:4" x14ac:dyDescent="0.25">
      <c r="B7" s="7" t="s">
        <v>33</v>
      </c>
      <c r="C7" s="5">
        <v>1063.5999999999999</v>
      </c>
      <c r="D7" s="6">
        <v>1087.43</v>
      </c>
    </row>
    <row r="8" spans="2:4" x14ac:dyDescent="0.25">
      <c r="B8" s="7" t="s">
        <v>34</v>
      </c>
      <c r="C8" s="5">
        <v>29426.38</v>
      </c>
      <c r="D8" s="6">
        <v>28437.279999999999</v>
      </c>
    </row>
    <row r="9" spans="2:4" x14ac:dyDescent="0.25">
      <c r="B9" s="7" t="s">
        <v>35</v>
      </c>
      <c r="C9" s="5">
        <v>0</v>
      </c>
      <c r="D9" s="6">
        <v>0</v>
      </c>
    </row>
    <row r="10" spans="2:4" x14ac:dyDescent="0.25">
      <c r="B10" s="7" t="s">
        <v>36</v>
      </c>
      <c r="C10" s="5">
        <v>0</v>
      </c>
      <c r="D10" s="6">
        <v>0</v>
      </c>
    </row>
    <row r="11" spans="2:4" x14ac:dyDescent="0.25">
      <c r="B11" s="7" t="s">
        <v>37</v>
      </c>
      <c r="C11" s="5">
        <v>30.88</v>
      </c>
      <c r="D11" s="6">
        <v>30.87</v>
      </c>
    </row>
    <row r="12" spans="2:4" x14ac:dyDescent="0.25">
      <c r="B12" s="7" t="s">
        <v>38</v>
      </c>
      <c r="C12" s="5">
        <v>0</v>
      </c>
      <c r="D12" s="6">
        <v>0</v>
      </c>
    </row>
    <row r="13" spans="2:4" x14ac:dyDescent="0.25">
      <c r="B13" s="17" t="s">
        <v>39</v>
      </c>
      <c r="C13" s="19">
        <f>SUM(C14:C22)</f>
        <v>1571.2599999999998</v>
      </c>
      <c r="D13" s="20">
        <f>SUM(D14:D22)</f>
        <v>1564.0900000000001</v>
      </c>
    </row>
    <row r="14" spans="2:4" x14ac:dyDescent="0.25">
      <c r="B14" s="7" t="s">
        <v>40</v>
      </c>
      <c r="C14" s="5">
        <v>0</v>
      </c>
      <c r="D14" s="6">
        <v>0</v>
      </c>
    </row>
    <row r="15" spans="2:4" x14ac:dyDescent="0.25">
      <c r="B15" s="7" t="s">
        <v>41</v>
      </c>
      <c r="C15" s="5">
        <v>714.06</v>
      </c>
      <c r="D15" s="6">
        <v>441.88</v>
      </c>
    </row>
    <row r="16" spans="2:4" x14ac:dyDescent="0.25">
      <c r="B16" s="7" t="s">
        <v>42</v>
      </c>
      <c r="C16" s="5">
        <v>0</v>
      </c>
      <c r="D16" s="6">
        <v>0</v>
      </c>
    </row>
    <row r="17" spans="2:5" x14ac:dyDescent="0.25">
      <c r="B17" s="7" t="s">
        <v>43</v>
      </c>
      <c r="C17" s="5">
        <f>562.35+44.65</f>
        <v>607</v>
      </c>
      <c r="D17" s="6">
        <f>517.92</f>
        <v>517.91999999999996</v>
      </c>
    </row>
    <row r="18" spans="2:5" x14ac:dyDescent="0.25">
      <c r="B18" s="7" t="s">
        <v>44</v>
      </c>
      <c r="C18" s="5">
        <v>0</v>
      </c>
      <c r="D18" s="6">
        <v>0</v>
      </c>
    </row>
    <row r="19" spans="2:5" ht="22.5" x14ac:dyDescent="0.25">
      <c r="B19" s="7" t="s">
        <v>45</v>
      </c>
      <c r="C19" s="5">
        <v>0</v>
      </c>
      <c r="D19" s="6">
        <v>0</v>
      </c>
    </row>
    <row r="20" spans="2:5" x14ac:dyDescent="0.25">
      <c r="B20" s="7" t="s">
        <v>36</v>
      </c>
      <c r="C20" s="5">
        <v>0</v>
      </c>
      <c r="D20" s="6">
        <v>0</v>
      </c>
    </row>
    <row r="21" spans="2:5" x14ac:dyDescent="0.25">
      <c r="B21" s="7" t="s">
        <v>46</v>
      </c>
      <c r="C21" s="5">
        <v>236.87</v>
      </c>
      <c r="D21" s="6">
        <v>255.16</v>
      </c>
    </row>
    <row r="22" spans="2:5" x14ac:dyDescent="0.25">
      <c r="B22" s="7" t="s">
        <v>47</v>
      </c>
      <c r="C22" s="5">
        <v>13.33</v>
      </c>
      <c r="D22" s="6">
        <v>349.13</v>
      </c>
    </row>
    <row r="23" spans="2:5" x14ac:dyDescent="0.25">
      <c r="B23" s="17" t="s">
        <v>48</v>
      </c>
      <c r="C23" s="19">
        <v>0</v>
      </c>
      <c r="D23" s="20">
        <v>0</v>
      </c>
    </row>
    <row r="24" spans="2:5" ht="15.75" thickBot="1" x14ac:dyDescent="0.3">
      <c r="B24" s="18" t="s">
        <v>49</v>
      </c>
      <c r="C24" s="21">
        <f>C4+C13</f>
        <v>32145.39</v>
      </c>
      <c r="D24" s="22">
        <f>D13+D4</f>
        <v>31184.399999999998</v>
      </c>
      <c r="E24" s="67"/>
    </row>
    <row r="25" spans="2:5" ht="16.5" thickTop="1" thickBot="1" x14ac:dyDescent="0.3"/>
    <row r="26" spans="2:5" ht="16.5" thickTop="1" thickBot="1" x14ac:dyDescent="0.3">
      <c r="C26" s="137" t="s">
        <v>29</v>
      </c>
      <c r="D26" s="138"/>
    </row>
    <row r="27" spans="2:5" ht="23.25" thickTop="1" x14ac:dyDescent="0.25">
      <c r="B27" s="158" t="s">
        <v>51</v>
      </c>
      <c r="C27" s="159" t="s">
        <v>166</v>
      </c>
      <c r="D27" s="160" t="s">
        <v>167</v>
      </c>
    </row>
    <row r="28" spans="2:5" x14ac:dyDescent="0.25">
      <c r="B28" s="17" t="s">
        <v>52</v>
      </c>
      <c r="C28" s="25">
        <f>SUM(C29:C37)</f>
        <v>31711.690000000002</v>
      </c>
      <c r="D28" s="26">
        <f>SUM(D29:D37)</f>
        <v>30927.61</v>
      </c>
      <c r="E28" s="67"/>
    </row>
    <row r="29" spans="2:5" x14ac:dyDescent="0.25">
      <c r="B29" s="7" t="s">
        <v>53</v>
      </c>
      <c r="C29" s="27">
        <v>1799.64</v>
      </c>
      <c r="D29" s="28">
        <v>1799.64</v>
      </c>
    </row>
    <row r="30" spans="2:5" x14ac:dyDescent="0.25">
      <c r="B30" s="7" t="s">
        <v>54</v>
      </c>
      <c r="C30" s="27">
        <v>23815.49</v>
      </c>
      <c r="D30" s="28">
        <v>23815.49</v>
      </c>
    </row>
    <row r="31" spans="2:5" x14ac:dyDescent="0.25">
      <c r="B31" s="7" t="s">
        <v>55</v>
      </c>
      <c r="C31" s="27">
        <v>0</v>
      </c>
      <c r="D31" s="28">
        <v>0</v>
      </c>
    </row>
    <row r="32" spans="2:5" x14ac:dyDescent="0.25">
      <c r="B32" s="7" t="s">
        <v>56</v>
      </c>
      <c r="C32" s="27">
        <v>4898.03</v>
      </c>
      <c r="D32" s="28">
        <f>3002.84-0.54</f>
        <v>3002.3</v>
      </c>
    </row>
    <row r="33" spans="2:5" x14ac:dyDescent="0.25">
      <c r="B33" s="7" t="s">
        <v>57</v>
      </c>
      <c r="C33" s="27">
        <v>0</v>
      </c>
      <c r="D33" s="28">
        <v>0</v>
      </c>
    </row>
    <row r="34" spans="2:5" x14ac:dyDescent="0.25">
      <c r="B34" s="7" t="s">
        <v>58</v>
      </c>
      <c r="C34" s="27">
        <v>0</v>
      </c>
      <c r="D34" s="28">
        <v>0</v>
      </c>
    </row>
    <row r="35" spans="2:5" x14ac:dyDescent="0.25">
      <c r="B35" s="7" t="s">
        <v>59</v>
      </c>
      <c r="C35" s="27">
        <v>415.13</v>
      </c>
      <c r="D35" s="28">
        <v>415.13</v>
      </c>
    </row>
    <row r="36" spans="2:5" x14ac:dyDescent="0.25">
      <c r="B36" s="7" t="s">
        <v>60</v>
      </c>
      <c r="C36" s="27">
        <v>783.4</v>
      </c>
      <c r="D36" s="28">
        <f>1912.05-17</f>
        <v>1895.05</v>
      </c>
    </row>
    <row r="37" spans="2:5" x14ac:dyDescent="0.25">
      <c r="B37" s="7" t="s">
        <v>61</v>
      </c>
      <c r="C37" s="27">
        <v>0</v>
      </c>
      <c r="D37" s="28">
        <v>0</v>
      </c>
    </row>
    <row r="38" spans="2:5" x14ac:dyDescent="0.25">
      <c r="B38" s="17" t="s">
        <v>62</v>
      </c>
      <c r="C38" s="25">
        <f>SUM(C39:C45)</f>
        <v>133.87</v>
      </c>
      <c r="D38" s="26">
        <f>SUM(D39:D45)</f>
        <v>133.87</v>
      </c>
      <c r="E38" s="67"/>
    </row>
    <row r="39" spans="2:5" x14ac:dyDescent="0.25">
      <c r="B39" s="7" t="s">
        <v>63</v>
      </c>
      <c r="C39" s="27">
        <v>0</v>
      </c>
      <c r="D39" s="28">
        <v>0</v>
      </c>
    </row>
    <row r="40" spans="2:5" x14ac:dyDescent="0.25">
      <c r="B40" s="7" t="s">
        <v>64</v>
      </c>
      <c r="C40" s="27">
        <v>0</v>
      </c>
      <c r="D40" s="28">
        <v>0</v>
      </c>
    </row>
    <row r="41" spans="2:5" x14ac:dyDescent="0.25">
      <c r="B41" s="7" t="s">
        <v>65</v>
      </c>
      <c r="C41" s="27">
        <v>0</v>
      </c>
      <c r="D41" s="28">
        <v>0</v>
      </c>
    </row>
    <row r="42" spans="2:5" x14ac:dyDescent="0.25">
      <c r="B42" s="7" t="s">
        <v>66</v>
      </c>
      <c r="C42" s="27">
        <v>133.87</v>
      </c>
      <c r="D42" s="28">
        <v>133.87</v>
      </c>
    </row>
    <row r="43" spans="2:5" x14ac:dyDescent="0.25">
      <c r="B43" s="7" t="s">
        <v>67</v>
      </c>
      <c r="C43" s="27">
        <v>0</v>
      </c>
      <c r="D43" s="28">
        <v>0</v>
      </c>
    </row>
    <row r="44" spans="2:5" x14ac:dyDescent="0.25">
      <c r="B44" s="7" t="s">
        <v>68</v>
      </c>
      <c r="C44" s="27">
        <v>0</v>
      </c>
      <c r="D44" s="28">
        <v>0</v>
      </c>
    </row>
    <row r="45" spans="2:5" x14ac:dyDescent="0.25">
      <c r="B45" s="7" t="s">
        <v>69</v>
      </c>
      <c r="C45" s="27">
        <v>0</v>
      </c>
      <c r="D45" s="28">
        <v>0</v>
      </c>
    </row>
    <row r="46" spans="2:5" x14ac:dyDescent="0.25">
      <c r="B46" s="17" t="s">
        <v>70</v>
      </c>
      <c r="C46" s="25">
        <f>SUM(C47:C55)</f>
        <v>299.83000000000004</v>
      </c>
      <c r="D46" s="26">
        <f>SUM(D47:D55)</f>
        <v>122.92</v>
      </c>
    </row>
    <row r="47" spans="2:5" x14ac:dyDescent="0.25">
      <c r="B47" s="7" t="s">
        <v>63</v>
      </c>
      <c r="C47" s="27">
        <v>0</v>
      </c>
      <c r="D47" s="28">
        <v>0</v>
      </c>
    </row>
    <row r="48" spans="2:5" x14ac:dyDescent="0.25">
      <c r="B48" s="7" t="s">
        <v>64</v>
      </c>
      <c r="C48" s="27">
        <v>0</v>
      </c>
      <c r="D48" s="28">
        <v>0</v>
      </c>
    </row>
    <row r="49" spans="2:4" x14ac:dyDescent="0.25">
      <c r="B49" s="7" t="s">
        <v>71</v>
      </c>
      <c r="C49" s="27">
        <v>162.71</v>
      </c>
      <c r="D49" s="28">
        <v>31.34</v>
      </c>
    </row>
    <row r="50" spans="2:4" x14ac:dyDescent="0.25">
      <c r="B50" s="23" t="s">
        <v>72</v>
      </c>
      <c r="C50" s="27">
        <v>0</v>
      </c>
      <c r="D50" s="28">
        <v>0</v>
      </c>
    </row>
    <row r="51" spans="2:4" x14ac:dyDescent="0.25">
      <c r="B51" s="7" t="s">
        <v>73</v>
      </c>
      <c r="C51" s="27">
        <f>29.53+55.43+22.16</f>
        <v>107.12</v>
      </c>
      <c r="D51" s="28">
        <f>21.32+55.26</f>
        <v>76.58</v>
      </c>
    </row>
    <row r="52" spans="2:4" x14ac:dyDescent="0.25">
      <c r="B52" s="7" t="s">
        <v>67</v>
      </c>
      <c r="C52" s="27">
        <v>0</v>
      </c>
      <c r="D52" s="28">
        <v>0</v>
      </c>
    </row>
    <row r="53" spans="2:4" x14ac:dyDescent="0.25">
      <c r="B53" s="7" t="s">
        <v>68</v>
      </c>
      <c r="C53" s="27">
        <v>0</v>
      </c>
      <c r="D53" s="28">
        <v>0</v>
      </c>
    </row>
    <row r="54" spans="2:4" x14ac:dyDescent="0.25">
      <c r="B54" s="7" t="s">
        <v>69</v>
      </c>
      <c r="C54" s="27">
        <v>30</v>
      </c>
      <c r="D54" s="28">
        <v>15</v>
      </c>
    </row>
    <row r="55" spans="2:4" ht="23.25" x14ac:dyDescent="0.25">
      <c r="B55" s="24" t="s">
        <v>74</v>
      </c>
      <c r="C55" s="27">
        <v>0</v>
      </c>
      <c r="D55" s="28">
        <v>0</v>
      </c>
    </row>
    <row r="56" spans="2:4" x14ac:dyDescent="0.25">
      <c r="B56" s="16" t="s">
        <v>75</v>
      </c>
      <c r="C56" s="25">
        <f>C28+C38+C46</f>
        <v>32145.390000000003</v>
      </c>
      <c r="D56" s="26">
        <f>D46+D38+D28</f>
        <v>31184.400000000001</v>
      </c>
    </row>
    <row r="57" spans="2:4" ht="15.75" thickBot="1" x14ac:dyDescent="0.3">
      <c r="B57" s="57" t="s">
        <v>76</v>
      </c>
      <c r="C57" s="29">
        <f>C56*1000/7198570</f>
        <v>4.465524402763327</v>
      </c>
      <c r="D57" s="30">
        <f>D56*1000/7198570</f>
        <v>4.3320270553734979</v>
      </c>
    </row>
    <row r="58" spans="2:4" ht="15.75" thickTop="1" x14ac:dyDescent="0.25"/>
    <row r="59" spans="2:4" x14ac:dyDescent="0.25">
      <c r="C59" s="67"/>
      <c r="D59" s="67"/>
    </row>
  </sheetData>
  <mergeCells count="2">
    <mergeCell ref="C2:D2"/>
    <mergeCell ref="C26:D26"/>
  </mergeCells>
  <pageMargins left="0.7" right="0.7" top="0.75" bottom="0.75" header="0.3" footer="0.3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H32" sqref="H32"/>
    </sheetView>
  </sheetViews>
  <sheetFormatPr defaultRowHeight="15" x14ac:dyDescent="0.25"/>
  <cols>
    <col min="2" max="2" width="32.42578125" customWidth="1"/>
    <col min="3" max="3" width="11" customWidth="1"/>
    <col min="4" max="4" width="17.28515625" customWidth="1"/>
    <col min="5" max="5" width="11" customWidth="1"/>
    <col min="6" max="7" width="12" customWidth="1"/>
    <col min="8" max="8" width="11" customWidth="1"/>
    <col min="9" max="9" width="15.28515625" customWidth="1"/>
    <col min="10" max="10" width="12" customWidth="1"/>
  </cols>
  <sheetData>
    <row r="1" spans="2:13" ht="15.75" thickBot="1" x14ac:dyDescent="0.3"/>
    <row r="2" spans="2:13" ht="16.5" thickTop="1" thickBot="1" x14ac:dyDescent="0.3">
      <c r="C2" s="137" t="s">
        <v>29</v>
      </c>
      <c r="D2" s="142"/>
      <c r="E2" s="142"/>
      <c r="F2" s="142"/>
      <c r="G2" s="142"/>
      <c r="H2" s="142"/>
      <c r="I2" s="142"/>
      <c r="J2" s="138"/>
    </row>
    <row r="3" spans="2:13" ht="45.75" thickTop="1" x14ac:dyDescent="0.25">
      <c r="B3" s="161"/>
      <c r="C3" s="162" t="s">
        <v>53</v>
      </c>
      <c r="D3" s="162" t="s">
        <v>86</v>
      </c>
      <c r="E3" s="162" t="s">
        <v>56</v>
      </c>
      <c r="F3" s="162" t="s">
        <v>57</v>
      </c>
      <c r="G3" s="162" t="s">
        <v>59</v>
      </c>
      <c r="H3" s="162" t="s">
        <v>60</v>
      </c>
      <c r="I3" s="162" t="s">
        <v>87</v>
      </c>
      <c r="J3" s="163" t="s">
        <v>88</v>
      </c>
      <c r="L3" s="67"/>
    </row>
    <row r="4" spans="2:13" x14ac:dyDescent="0.25">
      <c r="B4" s="139" t="s">
        <v>168</v>
      </c>
      <c r="C4" s="140"/>
      <c r="D4" s="140"/>
      <c r="E4" s="140"/>
      <c r="F4" s="140"/>
      <c r="G4" s="140"/>
      <c r="H4" s="140"/>
      <c r="I4" s="140"/>
      <c r="J4" s="141"/>
      <c r="L4" s="67"/>
    </row>
    <row r="5" spans="2:13" x14ac:dyDescent="0.25">
      <c r="B5" s="41" t="str">
        <f>CONCATENATE("Kapitał własny na dzień  ",'[1]Dane podstawowe'!$B$8," ","r.")</f>
        <v>Kapitał własny na dzień  01.01.2013 r.</v>
      </c>
      <c r="C5" s="42">
        <f>C27</f>
        <v>1799.64</v>
      </c>
      <c r="D5" s="42">
        <f t="shared" ref="D5:G5" si="0">D27</f>
        <v>23815.49</v>
      </c>
      <c r="E5" s="42">
        <v>3002.98</v>
      </c>
      <c r="F5" s="42">
        <v>1895.05</v>
      </c>
      <c r="G5" s="42">
        <f t="shared" si="0"/>
        <v>415.14</v>
      </c>
      <c r="H5" s="42">
        <v>0</v>
      </c>
      <c r="I5" s="42">
        <f>SUM(C5:H5)</f>
        <v>30928.3</v>
      </c>
      <c r="J5" s="42">
        <f>I5</f>
        <v>30928.3</v>
      </c>
      <c r="L5" s="67"/>
    </row>
    <row r="6" spans="2:13" x14ac:dyDescent="0.25">
      <c r="B6" s="37" t="s">
        <v>89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0">
        <v>0</v>
      </c>
      <c r="L6" s="67"/>
    </row>
    <row r="7" spans="2:13" x14ac:dyDescent="0.25">
      <c r="B7" s="37" t="s">
        <v>90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0">
        <v>0</v>
      </c>
      <c r="L7" s="67"/>
      <c r="M7" s="67"/>
    </row>
    <row r="8" spans="2:13" x14ac:dyDescent="0.25">
      <c r="B8" s="41" t="s">
        <v>91</v>
      </c>
      <c r="C8" s="42">
        <f>C5+C6+C7</f>
        <v>1799.64</v>
      </c>
      <c r="D8" s="42">
        <f t="shared" ref="D8:J8" si="1">D5+D6+D7</f>
        <v>23815.49</v>
      </c>
      <c r="E8" s="42">
        <f t="shared" si="1"/>
        <v>3002.98</v>
      </c>
      <c r="F8" s="42">
        <f t="shared" si="1"/>
        <v>1895.05</v>
      </c>
      <c r="G8" s="42">
        <f t="shared" si="1"/>
        <v>415.14</v>
      </c>
      <c r="H8" s="42">
        <f t="shared" si="1"/>
        <v>0</v>
      </c>
      <c r="I8" s="42">
        <f>I5+I6+I7</f>
        <v>30928.3</v>
      </c>
      <c r="J8" s="42">
        <f t="shared" si="1"/>
        <v>30928.3</v>
      </c>
      <c r="L8" s="67"/>
    </row>
    <row r="9" spans="2:13" x14ac:dyDescent="0.25">
      <c r="B9" s="37" t="s">
        <v>92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0">
        <v>0</v>
      </c>
      <c r="L9" s="67"/>
    </row>
    <row r="10" spans="2:13" x14ac:dyDescent="0.25">
      <c r="B10" s="37" t="s">
        <v>93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40">
        <v>0</v>
      </c>
      <c r="L10" s="67"/>
    </row>
    <row r="11" spans="2:13" x14ac:dyDescent="0.25">
      <c r="B11" s="37" t="s">
        <v>94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0">
        <v>0</v>
      </c>
      <c r="L11" s="67"/>
    </row>
    <row r="12" spans="2:13" x14ac:dyDescent="0.25">
      <c r="B12" s="38" t="s">
        <v>95</v>
      </c>
      <c r="C12" s="39">
        <v>0</v>
      </c>
      <c r="D12" s="39">
        <v>0</v>
      </c>
      <c r="E12" s="39">
        <v>1895.05</v>
      </c>
      <c r="F12" s="39">
        <v>-1895.05</v>
      </c>
      <c r="G12" s="39">
        <v>0</v>
      </c>
      <c r="H12" s="39">
        <v>783.4</v>
      </c>
      <c r="I12" s="39">
        <f>SUM(C12:H12)</f>
        <v>783.4</v>
      </c>
      <c r="J12" s="40">
        <f>I12</f>
        <v>783.4</v>
      </c>
      <c r="L12" s="67"/>
    </row>
    <row r="13" spans="2:13" x14ac:dyDescent="0.25">
      <c r="B13" s="37" t="s">
        <v>96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</row>
    <row r="14" spans="2:13" x14ac:dyDescent="0.25">
      <c r="B14" s="37" t="s">
        <v>97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v>0</v>
      </c>
    </row>
    <row r="15" spans="2:13" x14ac:dyDescent="0.25">
      <c r="B15" s="41" t="s">
        <v>170</v>
      </c>
      <c r="C15" s="42">
        <f>SUM(C8:C14)</f>
        <v>1799.64</v>
      </c>
      <c r="D15" s="42">
        <f t="shared" ref="D15:J15" si="2">SUM(D8:D14)</f>
        <v>23815.49</v>
      </c>
      <c r="E15" s="42">
        <f t="shared" si="2"/>
        <v>4898.03</v>
      </c>
      <c r="F15" s="42">
        <f t="shared" si="2"/>
        <v>0</v>
      </c>
      <c r="G15" s="42">
        <f t="shared" si="2"/>
        <v>415.14</v>
      </c>
      <c r="H15" s="42">
        <f t="shared" si="2"/>
        <v>783.4</v>
      </c>
      <c r="I15" s="42">
        <f>SUM(I8:I14)</f>
        <v>31711.7</v>
      </c>
      <c r="J15" s="42">
        <f t="shared" si="2"/>
        <v>31711.7</v>
      </c>
    </row>
    <row r="16" spans="2:13" ht="15" customHeight="1" x14ac:dyDescent="0.25">
      <c r="B16" s="139" t="s">
        <v>169</v>
      </c>
      <c r="C16" s="140"/>
      <c r="D16" s="140"/>
      <c r="E16" s="140"/>
      <c r="F16" s="140"/>
      <c r="G16" s="140"/>
      <c r="H16" s="140"/>
      <c r="I16" s="140"/>
      <c r="J16" s="141"/>
    </row>
    <row r="17" spans="2:11" x14ac:dyDescent="0.25">
      <c r="B17" s="41" t="s">
        <v>98</v>
      </c>
      <c r="C17" s="42">
        <v>1799.64</v>
      </c>
      <c r="D17" s="42">
        <v>23815.49</v>
      </c>
      <c r="E17" s="42">
        <v>4117.8900000000003</v>
      </c>
      <c r="F17" s="42">
        <v>0</v>
      </c>
      <c r="G17" s="42">
        <v>1099.78</v>
      </c>
      <c r="H17" s="42">
        <v>0</v>
      </c>
      <c r="I17" s="42">
        <f>SUM(C17:H17)</f>
        <v>30832.799999999999</v>
      </c>
      <c r="J17" s="43">
        <f>I17</f>
        <v>30832.799999999999</v>
      </c>
    </row>
    <row r="18" spans="2:11" x14ac:dyDescent="0.25">
      <c r="B18" s="37" t="s">
        <v>89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0">
        <f>I18</f>
        <v>0</v>
      </c>
    </row>
    <row r="19" spans="2:11" x14ac:dyDescent="0.25">
      <c r="B19" s="37" t="s">
        <v>90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0">
        <f>I19</f>
        <v>0</v>
      </c>
    </row>
    <row r="20" spans="2:11" x14ac:dyDescent="0.25">
      <c r="B20" s="41" t="s">
        <v>91</v>
      </c>
      <c r="C20" s="42">
        <f>C17+C19+C18</f>
        <v>1799.64</v>
      </c>
      <c r="D20" s="42">
        <f t="shared" ref="D20:I20" si="3">D17+D19+D18</f>
        <v>23815.49</v>
      </c>
      <c r="E20" s="42">
        <f t="shared" si="3"/>
        <v>4117.8900000000003</v>
      </c>
      <c r="F20" s="42">
        <f t="shared" si="3"/>
        <v>0</v>
      </c>
      <c r="G20" s="42">
        <f t="shared" si="3"/>
        <v>1099.78</v>
      </c>
      <c r="H20" s="42">
        <f t="shared" si="3"/>
        <v>0</v>
      </c>
      <c r="I20" s="42">
        <f t="shared" si="3"/>
        <v>30832.799999999999</v>
      </c>
      <c r="J20" s="42">
        <f>J17+J19+J18</f>
        <v>30832.799999999999</v>
      </c>
    </row>
    <row r="21" spans="2:11" x14ac:dyDescent="0.25">
      <c r="B21" s="37" t="s">
        <v>92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f>SUM(C21:H21)</f>
        <v>0</v>
      </c>
      <c r="J21" s="40">
        <f>I21</f>
        <v>0</v>
      </c>
    </row>
    <row r="22" spans="2:11" x14ac:dyDescent="0.25">
      <c r="B22" s="37" t="s">
        <v>93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f t="shared" ref="I22:I26" si="4">SUM(C22:H22)</f>
        <v>0</v>
      </c>
      <c r="J22" s="40">
        <f t="shared" ref="J22:J25" si="5">I22</f>
        <v>0</v>
      </c>
    </row>
    <row r="23" spans="2:11" x14ac:dyDescent="0.25">
      <c r="B23" s="37" t="s">
        <v>94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f t="shared" si="4"/>
        <v>0</v>
      </c>
      <c r="J23" s="40">
        <f t="shared" si="5"/>
        <v>0</v>
      </c>
    </row>
    <row r="24" spans="2:11" x14ac:dyDescent="0.25">
      <c r="B24" s="38" t="s">
        <v>95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1895.05</v>
      </c>
      <c r="I24" s="39">
        <f t="shared" si="4"/>
        <v>1895.05</v>
      </c>
      <c r="J24" s="40">
        <f t="shared" si="5"/>
        <v>1895.05</v>
      </c>
    </row>
    <row r="25" spans="2:11" x14ac:dyDescent="0.25">
      <c r="B25" s="37" t="s">
        <v>96</v>
      </c>
      <c r="C25" s="39">
        <v>0</v>
      </c>
      <c r="D25" s="39">
        <v>0</v>
      </c>
      <c r="E25" s="39">
        <v>-1115</v>
      </c>
      <c r="F25" s="39">
        <v>0</v>
      </c>
      <c r="G25" s="39">
        <v>-684.64</v>
      </c>
      <c r="H25" s="39">
        <v>0</v>
      </c>
      <c r="I25" s="39">
        <f t="shared" si="4"/>
        <v>-1799.6399999999999</v>
      </c>
      <c r="J25" s="40">
        <f t="shared" si="5"/>
        <v>-1799.6399999999999</v>
      </c>
    </row>
    <row r="26" spans="2:11" x14ac:dyDescent="0.25">
      <c r="B26" s="37" t="s">
        <v>97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f t="shared" si="4"/>
        <v>0</v>
      </c>
      <c r="J26" s="40">
        <f t="shared" ref="J26" si="6">SUM(C26:I26)</f>
        <v>0</v>
      </c>
    </row>
    <row r="27" spans="2:11" ht="15.75" thickBot="1" x14ac:dyDescent="0.3">
      <c r="B27" s="44" t="s">
        <v>171</v>
      </c>
      <c r="C27" s="45">
        <f>SUM(C20:C26)</f>
        <v>1799.64</v>
      </c>
      <c r="D27" s="45">
        <f t="shared" ref="D27:I27" si="7">SUM(D20:D26)</f>
        <v>23815.49</v>
      </c>
      <c r="E27" s="45">
        <f t="shared" si="7"/>
        <v>3002.8900000000003</v>
      </c>
      <c r="F27" s="45">
        <f t="shared" si="7"/>
        <v>0</v>
      </c>
      <c r="G27" s="45">
        <f t="shared" si="7"/>
        <v>415.14</v>
      </c>
      <c r="H27" s="45">
        <f t="shared" si="7"/>
        <v>1895.05</v>
      </c>
      <c r="I27" s="45">
        <f t="shared" si="7"/>
        <v>30928.21</v>
      </c>
      <c r="J27" s="46">
        <f>I27</f>
        <v>30928.21</v>
      </c>
      <c r="K27" s="67"/>
    </row>
    <row r="28" spans="2:11" ht="15.75" thickTop="1" x14ac:dyDescent="0.25"/>
  </sheetData>
  <mergeCells count="3">
    <mergeCell ref="B4:J4"/>
    <mergeCell ref="B16:J16"/>
    <mergeCell ref="C2:J2"/>
  </mergeCells>
  <pageMargins left="0.7" right="0.7" top="0.75" bottom="0.75" header="0.3" footer="0.3"/>
  <ignoredErrors>
    <ignoredError sqref="J26 J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workbookViewId="0"/>
  </sheetViews>
  <sheetFormatPr defaultRowHeight="15" x14ac:dyDescent="0.25"/>
  <cols>
    <col min="2" max="2" width="50.7109375" customWidth="1"/>
    <col min="3" max="3" width="15" customWidth="1"/>
    <col min="4" max="4" width="15.42578125" customWidth="1"/>
    <col min="5" max="5" width="15.140625" customWidth="1"/>
    <col min="6" max="6" width="13.140625" customWidth="1"/>
  </cols>
  <sheetData>
    <row r="1" spans="2:7" ht="15.75" thickBot="1" x14ac:dyDescent="0.3"/>
    <row r="2" spans="2:7" ht="16.5" thickTop="1" thickBot="1" x14ac:dyDescent="0.3">
      <c r="B2" s="71"/>
      <c r="C2" s="143" t="s">
        <v>29</v>
      </c>
      <c r="D2" s="144"/>
      <c r="E2" s="144"/>
      <c r="F2" s="145"/>
    </row>
    <row r="3" spans="2:7" ht="34.5" thickTop="1" x14ac:dyDescent="0.25">
      <c r="B3" s="132"/>
      <c r="C3" s="128" t="s">
        <v>162</v>
      </c>
      <c r="D3" s="128" t="s">
        <v>163</v>
      </c>
      <c r="E3" s="130" t="s">
        <v>164</v>
      </c>
      <c r="F3" s="133" t="s">
        <v>165</v>
      </c>
    </row>
    <row r="4" spans="2:7" x14ac:dyDescent="0.25">
      <c r="B4" s="72" t="s">
        <v>159</v>
      </c>
      <c r="C4" s="82"/>
      <c r="D4" s="82"/>
      <c r="E4" s="73"/>
      <c r="F4" s="74"/>
    </row>
    <row r="5" spans="2:7" x14ac:dyDescent="0.25">
      <c r="B5" s="75" t="s">
        <v>176</v>
      </c>
      <c r="C5" s="171">
        <v>298.12</v>
      </c>
      <c r="D5" s="171">
        <v>2121.5300000000002</v>
      </c>
      <c r="E5" s="165">
        <v>783.4</v>
      </c>
      <c r="F5" s="166">
        <v>1912.05</v>
      </c>
    </row>
    <row r="6" spans="2:7" x14ac:dyDescent="0.25">
      <c r="B6" s="75" t="s">
        <v>130</v>
      </c>
      <c r="C6" s="171">
        <f>SUM(C7:C16)</f>
        <v>-299.21999999999997</v>
      </c>
      <c r="D6" s="171">
        <f t="shared" ref="D6:F6" si="0">SUM(D7:D16)</f>
        <v>-1835.14</v>
      </c>
      <c r="E6" s="171">
        <f t="shared" si="0"/>
        <v>-828.49</v>
      </c>
      <c r="F6" s="172">
        <f t="shared" si="0"/>
        <v>-1420.8699999999997</v>
      </c>
      <c r="G6" s="68"/>
    </row>
    <row r="7" spans="2:7" ht="22.5" x14ac:dyDescent="0.25">
      <c r="B7" s="76" t="s">
        <v>131</v>
      </c>
      <c r="C7" s="185">
        <v>9.3000000000000007</v>
      </c>
      <c r="D7" s="185">
        <v>9.17</v>
      </c>
      <c r="E7" s="165">
        <v>36.9</v>
      </c>
      <c r="F7" s="168">
        <v>36.68</v>
      </c>
      <c r="G7" s="69"/>
    </row>
    <row r="8" spans="2:7" x14ac:dyDescent="0.25">
      <c r="B8" s="76" t="s">
        <v>132</v>
      </c>
      <c r="C8" s="186">
        <v>0</v>
      </c>
      <c r="D8" s="186">
        <v>0</v>
      </c>
      <c r="E8" s="165">
        <v>0</v>
      </c>
      <c r="F8" s="166">
        <v>0</v>
      </c>
    </row>
    <row r="9" spans="2:7" x14ac:dyDescent="0.25">
      <c r="B9" s="76" t="s">
        <v>133</v>
      </c>
      <c r="C9" s="186">
        <v>0</v>
      </c>
      <c r="D9" s="186">
        <v>-0.36</v>
      </c>
      <c r="E9" s="165">
        <v>-700</v>
      </c>
      <c r="F9" s="166">
        <v>-1800</v>
      </c>
    </row>
    <row r="10" spans="2:7" x14ac:dyDescent="0.25">
      <c r="B10" s="76" t="s">
        <v>134</v>
      </c>
      <c r="C10" s="186">
        <v>0</v>
      </c>
      <c r="D10" s="186">
        <v>0</v>
      </c>
      <c r="E10" s="165">
        <v>0</v>
      </c>
      <c r="F10" s="166">
        <v>0</v>
      </c>
    </row>
    <row r="11" spans="2:7" x14ac:dyDescent="0.25">
      <c r="B11" s="76" t="s">
        <v>135</v>
      </c>
      <c r="C11" s="186">
        <v>30</v>
      </c>
      <c r="D11" s="186">
        <v>12</v>
      </c>
      <c r="E11" s="165">
        <v>15</v>
      </c>
      <c r="F11" s="166">
        <v>-3</v>
      </c>
    </row>
    <row r="12" spans="2:7" x14ac:dyDescent="0.25">
      <c r="B12" s="76" t="s">
        <v>136</v>
      </c>
      <c r="C12" s="186">
        <v>0</v>
      </c>
      <c r="D12" s="186">
        <v>0</v>
      </c>
      <c r="E12" s="165">
        <v>0</v>
      </c>
      <c r="F12" s="166">
        <v>0</v>
      </c>
    </row>
    <row r="13" spans="2:7" x14ac:dyDescent="0.25">
      <c r="B13" s="76" t="s">
        <v>137</v>
      </c>
      <c r="C13" s="186">
        <v>-478.01</v>
      </c>
      <c r="D13" s="186">
        <v>150.66</v>
      </c>
      <c r="E13" s="165">
        <v>-361.26</v>
      </c>
      <c r="F13" s="166">
        <v>401.1</v>
      </c>
    </row>
    <row r="14" spans="2:7" ht="22.5" x14ac:dyDescent="0.25">
      <c r="B14" s="76" t="s">
        <v>138</v>
      </c>
      <c r="C14" s="186">
        <v>133.63</v>
      </c>
      <c r="D14" s="186">
        <v>-1947.17</v>
      </c>
      <c r="E14" s="165">
        <v>162.58000000000001</v>
      </c>
      <c r="F14" s="166">
        <v>-37.33</v>
      </c>
    </row>
    <row r="15" spans="2:7" x14ac:dyDescent="0.25">
      <c r="B15" s="76" t="s">
        <v>139</v>
      </c>
      <c r="C15" s="186">
        <v>5.86</v>
      </c>
      <c r="D15" s="186">
        <v>0.3</v>
      </c>
      <c r="E15" s="165">
        <v>18.29</v>
      </c>
      <c r="F15" s="166">
        <v>-18.32</v>
      </c>
    </row>
    <row r="16" spans="2:7" x14ac:dyDescent="0.25">
      <c r="B16" s="76" t="s">
        <v>140</v>
      </c>
      <c r="C16" s="186">
        <v>0</v>
      </c>
      <c r="D16" s="186">
        <v>-59.74</v>
      </c>
      <c r="E16" s="165">
        <v>0</v>
      </c>
      <c r="F16" s="166">
        <v>0</v>
      </c>
    </row>
    <row r="17" spans="2:6" ht="17.25" customHeight="1" x14ac:dyDescent="0.25">
      <c r="B17" s="77" t="s">
        <v>141</v>
      </c>
      <c r="C17" s="173">
        <f t="shared" ref="C17:D17" si="1">C5+C6</f>
        <v>-1.0999999999999659</v>
      </c>
      <c r="D17" s="173">
        <f t="shared" si="1"/>
        <v>286.3900000000001</v>
      </c>
      <c r="E17" s="173">
        <f>E5+E6</f>
        <v>-45.090000000000032</v>
      </c>
      <c r="F17" s="174">
        <f>F5+F6</f>
        <v>491.18000000000029</v>
      </c>
    </row>
    <row r="18" spans="2:6" x14ac:dyDescent="0.25">
      <c r="B18" s="72" t="s">
        <v>160</v>
      </c>
      <c r="C18" s="173"/>
      <c r="D18" s="173"/>
      <c r="E18" s="175"/>
      <c r="F18" s="176"/>
    </row>
    <row r="19" spans="2:6" x14ac:dyDescent="0.25">
      <c r="B19" s="75" t="s">
        <v>142</v>
      </c>
      <c r="C19" s="171">
        <f>C20+C21+C22+C23</f>
        <v>265.8</v>
      </c>
      <c r="D19" s="171">
        <f>D20+D21+D22+D23</f>
        <v>1800</v>
      </c>
      <c r="E19" s="171">
        <f>E20+E21+E22+E23</f>
        <v>700</v>
      </c>
      <c r="F19" s="177">
        <f>F20+F21+F22+F23</f>
        <v>1800</v>
      </c>
    </row>
    <row r="20" spans="2:6" ht="22.5" x14ac:dyDescent="0.25">
      <c r="B20" s="76" t="s">
        <v>143</v>
      </c>
      <c r="C20" s="186">
        <v>0</v>
      </c>
      <c r="D20" s="186">
        <v>0</v>
      </c>
      <c r="E20" s="169">
        <v>0</v>
      </c>
      <c r="F20" s="170">
        <v>0</v>
      </c>
    </row>
    <row r="21" spans="2:6" ht="22.5" x14ac:dyDescent="0.25">
      <c r="B21" s="76" t="s">
        <v>144</v>
      </c>
      <c r="C21" s="186">
        <v>0</v>
      </c>
      <c r="D21" s="186">
        <v>0</v>
      </c>
      <c r="E21" s="169">
        <v>0</v>
      </c>
      <c r="F21" s="170">
        <v>0</v>
      </c>
    </row>
    <row r="22" spans="2:6" x14ac:dyDescent="0.25">
      <c r="B22" s="76" t="s">
        <v>177</v>
      </c>
      <c r="C22" s="186">
        <v>265.8</v>
      </c>
      <c r="D22" s="186">
        <v>1800</v>
      </c>
      <c r="E22" s="169">
        <v>700</v>
      </c>
      <c r="F22" s="170">
        <v>1800</v>
      </c>
    </row>
    <row r="23" spans="2:6" x14ac:dyDescent="0.25">
      <c r="B23" s="76" t="s">
        <v>145</v>
      </c>
      <c r="C23" s="186">
        <v>0</v>
      </c>
      <c r="D23" s="186">
        <v>0</v>
      </c>
      <c r="E23" s="169">
        <v>0</v>
      </c>
      <c r="F23" s="170">
        <v>0</v>
      </c>
    </row>
    <row r="24" spans="2:6" x14ac:dyDescent="0.25">
      <c r="B24" s="75" t="s">
        <v>146</v>
      </c>
      <c r="C24" s="164">
        <f>C25+C26+C27+C28</f>
        <v>264.77</v>
      </c>
      <c r="D24" s="164">
        <f>D25+D26+D27+D28</f>
        <v>-53.11</v>
      </c>
      <c r="E24" s="164">
        <f>E25+E26+E27+E28</f>
        <v>990.71</v>
      </c>
      <c r="F24" s="167">
        <f>F25+F26+F27+F28</f>
        <v>154.54</v>
      </c>
    </row>
    <row r="25" spans="2:6" ht="22.5" x14ac:dyDescent="0.25">
      <c r="B25" s="76" t="s">
        <v>147</v>
      </c>
      <c r="C25" s="186">
        <v>0</v>
      </c>
      <c r="D25" s="186">
        <v>0</v>
      </c>
      <c r="E25" s="169">
        <v>1.63</v>
      </c>
      <c r="F25" s="170">
        <v>0</v>
      </c>
    </row>
    <row r="26" spans="2:6" ht="22.5" x14ac:dyDescent="0.25">
      <c r="B26" s="76" t="s">
        <v>148</v>
      </c>
      <c r="C26" s="186">
        <v>0</v>
      </c>
      <c r="D26" s="186">
        <v>0</v>
      </c>
      <c r="E26" s="169">
        <v>0</v>
      </c>
      <c r="F26" s="170">
        <v>0</v>
      </c>
    </row>
    <row r="27" spans="2:6" x14ac:dyDescent="0.25">
      <c r="B27" s="76" t="s">
        <v>149</v>
      </c>
      <c r="C27" s="186">
        <v>264.77</v>
      </c>
      <c r="D27" s="186">
        <v>-53.11</v>
      </c>
      <c r="E27" s="187">
        <v>989.08</v>
      </c>
      <c r="F27" s="188">
        <v>154.54</v>
      </c>
    </row>
    <row r="28" spans="2:6" x14ac:dyDescent="0.25">
      <c r="B28" s="76" t="s">
        <v>150</v>
      </c>
      <c r="C28" s="186">
        <v>0</v>
      </c>
      <c r="D28" s="186">
        <v>0</v>
      </c>
      <c r="E28" s="187">
        <v>0</v>
      </c>
      <c r="F28" s="188">
        <v>0</v>
      </c>
    </row>
    <row r="29" spans="2:6" ht="22.5" x14ac:dyDescent="0.25">
      <c r="B29" s="77" t="s">
        <v>151</v>
      </c>
      <c r="C29" s="173">
        <f>C19-C24</f>
        <v>1.0300000000000296</v>
      </c>
      <c r="D29" s="173">
        <f>D19-D24</f>
        <v>1853.11</v>
      </c>
      <c r="E29" s="173">
        <f>E19-E24</f>
        <v>-290.71000000000004</v>
      </c>
      <c r="F29" s="178">
        <f>F19-F24</f>
        <v>1645.46</v>
      </c>
    </row>
    <row r="30" spans="2:6" x14ac:dyDescent="0.25">
      <c r="B30" s="72" t="s">
        <v>161</v>
      </c>
      <c r="C30" s="173"/>
      <c r="D30" s="173"/>
      <c r="E30" s="179"/>
      <c r="F30" s="180"/>
    </row>
    <row r="31" spans="2:6" x14ac:dyDescent="0.25">
      <c r="B31" s="75" t="s">
        <v>142</v>
      </c>
      <c r="C31" s="171">
        <v>0</v>
      </c>
      <c r="D31" s="171">
        <v>0</v>
      </c>
      <c r="E31" s="165">
        <v>0</v>
      </c>
      <c r="F31" s="166">
        <v>0</v>
      </c>
    </row>
    <row r="32" spans="2:6" x14ac:dyDescent="0.25">
      <c r="B32" s="75" t="s">
        <v>146</v>
      </c>
      <c r="C32" s="171">
        <v>0</v>
      </c>
      <c r="D32" s="171">
        <v>1799.64</v>
      </c>
      <c r="E32" s="165">
        <v>0</v>
      </c>
      <c r="F32" s="166">
        <v>1799.64</v>
      </c>
    </row>
    <row r="33" spans="2:6" x14ac:dyDescent="0.25">
      <c r="B33" s="77" t="s">
        <v>152</v>
      </c>
      <c r="C33" s="173">
        <f>C31-C32</f>
        <v>0</v>
      </c>
      <c r="D33" s="173">
        <f t="shared" ref="D33:F33" si="2">D31-D32</f>
        <v>-1799.64</v>
      </c>
      <c r="E33" s="173">
        <f t="shared" si="2"/>
        <v>0</v>
      </c>
      <c r="F33" s="178">
        <f t="shared" si="2"/>
        <v>-1799.64</v>
      </c>
    </row>
    <row r="34" spans="2:6" x14ac:dyDescent="0.25">
      <c r="B34" s="72" t="s">
        <v>153</v>
      </c>
      <c r="C34" s="173">
        <f>C33+C29+C17</f>
        <v>-6.9999999999936335E-2</v>
      </c>
      <c r="D34" s="173">
        <f>D33+D29+D17</f>
        <v>339.8599999999999</v>
      </c>
      <c r="E34" s="173">
        <f>E33+E29+E17</f>
        <v>-335.80000000000007</v>
      </c>
      <c r="F34" s="178">
        <f>F33+F29+F17</f>
        <v>337.00000000000023</v>
      </c>
    </row>
    <row r="35" spans="2:6" x14ac:dyDescent="0.25">
      <c r="B35" s="72" t="s">
        <v>154</v>
      </c>
      <c r="C35" s="190">
        <f>C38-C37</f>
        <v>-7.0000000000000284E-2</v>
      </c>
      <c r="D35" s="190">
        <f>D38-D37</f>
        <v>339.86</v>
      </c>
      <c r="E35" s="181">
        <f>E38-E37</f>
        <v>-335.8</v>
      </c>
      <c r="F35" s="181">
        <f>F38-F37</f>
        <v>337</v>
      </c>
    </row>
    <row r="36" spans="2:6" ht="22.5" x14ac:dyDescent="0.25">
      <c r="B36" s="78" t="s">
        <v>155</v>
      </c>
      <c r="C36" s="185">
        <v>0</v>
      </c>
      <c r="D36" s="185">
        <v>0</v>
      </c>
      <c r="E36" s="165">
        <v>0</v>
      </c>
      <c r="F36" s="166">
        <v>0</v>
      </c>
    </row>
    <row r="37" spans="2:6" x14ac:dyDescent="0.25">
      <c r="B37" s="72" t="s">
        <v>156</v>
      </c>
      <c r="C37" s="173">
        <v>13.4</v>
      </c>
      <c r="D37" s="173">
        <v>9.27</v>
      </c>
      <c r="E37" s="182">
        <v>349.13</v>
      </c>
      <c r="F37" s="181">
        <v>12.13</v>
      </c>
    </row>
    <row r="38" spans="2:6" x14ac:dyDescent="0.25">
      <c r="B38" s="72" t="s">
        <v>157</v>
      </c>
      <c r="C38" s="173">
        <v>13.33</v>
      </c>
      <c r="D38" s="173">
        <v>349.13</v>
      </c>
      <c r="E38" s="182">
        <v>13.33</v>
      </c>
      <c r="F38" s="181">
        <v>349.13</v>
      </c>
    </row>
    <row r="39" spans="2:6" ht="15.75" thickBot="1" x14ac:dyDescent="0.3">
      <c r="B39" s="79" t="s">
        <v>158</v>
      </c>
      <c r="C39" s="189">
        <v>0</v>
      </c>
      <c r="D39" s="189">
        <v>0</v>
      </c>
      <c r="E39" s="183">
        <v>0</v>
      </c>
      <c r="F39" s="184">
        <v>0</v>
      </c>
    </row>
    <row r="40" spans="2:6" ht="15.75" thickTop="1" x14ac:dyDescent="0.25"/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workbookViewId="0">
      <selection activeCell="E22" sqref="E22"/>
    </sheetView>
  </sheetViews>
  <sheetFormatPr defaultRowHeight="15" x14ac:dyDescent="0.25"/>
  <cols>
    <col min="2" max="2" width="39.28515625" customWidth="1"/>
    <col min="3" max="12" width="10.140625" customWidth="1"/>
  </cols>
  <sheetData>
    <row r="2" spans="2:12" ht="15.75" thickBot="1" x14ac:dyDescent="0.3"/>
    <row r="3" spans="2:12" ht="15.75" thickTop="1" x14ac:dyDescent="0.25">
      <c r="B3" s="146"/>
      <c r="C3" s="95" t="s">
        <v>172</v>
      </c>
      <c r="D3" s="95" t="s">
        <v>172</v>
      </c>
      <c r="E3" s="95" t="s">
        <v>172</v>
      </c>
      <c r="F3" s="95" t="s">
        <v>172</v>
      </c>
      <c r="G3" s="148" t="s">
        <v>99</v>
      </c>
      <c r="H3" s="96" t="s">
        <v>173</v>
      </c>
      <c r="I3" s="96" t="s">
        <v>173</v>
      </c>
      <c r="J3" s="96" t="s">
        <v>173</v>
      </c>
      <c r="K3" s="96" t="s">
        <v>173</v>
      </c>
      <c r="L3" s="150" t="s">
        <v>99</v>
      </c>
    </row>
    <row r="4" spans="2:12" x14ac:dyDescent="0.25">
      <c r="B4" s="147"/>
      <c r="C4" s="55" t="s">
        <v>100</v>
      </c>
      <c r="D4" s="55" t="s">
        <v>101</v>
      </c>
      <c r="E4" s="56" t="s">
        <v>102</v>
      </c>
      <c r="F4" s="55" t="s">
        <v>103</v>
      </c>
      <c r="G4" s="149"/>
      <c r="H4" s="56" t="s">
        <v>100</v>
      </c>
      <c r="I4" s="55" t="s">
        <v>101</v>
      </c>
      <c r="J4" s="55" t="s">
        <v>102</v>
      </c>
      <c r="K4" s="55" t="s">
        <v>103</v>
      </c>
      <c r="L4" s="151"/>
    </row>
    <row r="5" spans="2:12" x14ac:dyDescent="0.25">
      <c r="B5" s="97" t="s">
        <v>0</v>
      </c>
      <c r="C5" s="47">
        <v>555</v>
      </c>
      <c r="D5" s="47">
        <v>561.36</v>
      </c>
      <c r="E5" s="49">
        <f>C5/'Kursy walut'!$D$6</f>
        <v>132.95005389867049</v>
      </c>
      <c r="F5" s="47">
        <f>D5/'Kursy walut'!$D$5</f>
        <v>136.58726489695616</v>
      </c>
      <c r="G5" s="48">
        <f>(C5/D5)*100</f>
        <v>98.867037195382636</v>
      </c>
      <c r="H5" s="49">
        <v>1025.21</v>
      </c>
      <c r="I5" s="47">
        <v>1049.04</v>
      </c>
      <c r="J5" s="47">
        <f>H5/'Kursy walut'!$E$6</f>
        <v>243.45998575160294</v>
      </c>
      <c r="K5" s="47">
        <f>I5/'Kursy walut'!$E$5</f>
        <v>251.35135135135133</v>
      </c>
      <c r="L5" s="98">
        <f>(H5/I5)*100</f>
        <v>97.72839929840616</v>
      </c>
    </row>
    <row r="6" spans="2:12" x14ac:dyDescent="0.25">
      <c r="B6" s="99" t="s">
        <v>104</v>
      </c>
      <c r="C6" s="50">
        <f>36.9-H6</f>
        <v>9.2999999999999972</v>
      </c>
      <c r="D6" s="50">
        <v>9.17</v>
      </c>
      <c r="E6" s="51">
        <f>C6/'Kursy walut'!$D$6</f>
        <v>2.2278117139777209</v>
      </c>
      <c r="F6" s="50">
        <f>D6/'Kursy walut'!$D$5</f>
        <v>2.2311978393634884</v>
      </c>
      <c r="G6" s="70">
        <f t="shared" ref="G6:G13" si="0">(C6/D6)*100</f>
        <v>101.41766630316245</v>
      </c>
      <c r="H6" s="51">
        <v>27.6</v>
      </c>
      <c r="I6" s="50">
        <v>27.51</v>
      </c>
      <c r="J6" s="50">
        <f>H6/'Kursy walut'!$E$6</f>
        <v>6.5542626454523862</v>
      </c>
      <c r="K6" s="50">
        <f>I6/'Kursy walut'!$E$5</f>
        <v>6.5914318573893036</v>
      </c>
      <c r="L6" s="100">
        <f t="shared" ref="L6:L13" si="1">(H6/I6)*100</f>
        <v>100.32715376226827</v>
      </c>
    </row>
    <row r="7" spans="2:12" x14ac:dyDescent="0.25">
      <c r="B7" s="97" t="s">
        <v>105</v>
      </c>
      <c r="C7" s="47">
        <v>555</v>
      </c>
      <c r="D7" s="47">
        <v>561.36</v>
      </c>
      <c r="E7" s="49">
        <f>C7/'Kursy walut'!$D$6</f>
        <v>132.95005389867049</v>
      </c>
      <c r="F7" s="47">
        <f>D7/'Kursy walut'!$D$5</f>
        <v>136.58726489695616</v>
      </c>
      <c r="G7" s="48">
        <f t="shared" si="0"/>
        <v>98.867037195382636</v>
      </c>
      <c r="H7" s="49">
        <v>1024.05</v>
      </c>
      <c r="I7" s="47">
        <v>1045.73</v>
      </c>
      <c r="J7" s="47">
        <f>H7/'Kursy walut'!$E$6</f>
        <v>243.1845167418665</v>
      </c>
      <c r="K7" s="47">
        <f>I7/'Kursy walut'!$E$5</f>
        <v>250.55827103699443</v>
      </c>
      <c r="L7" s="98">
        <f t="shared" si="1"/>
        <v>97.926807110822097</v>
      </c>
    </row>
    <row r="8" spans="2:12" x14ac:dyDescent="0.25">
      <c r="B8" s="99" t="s">
        <v>106</v>
      </c>
      <c r="C8" s="50">
        <f>C7-254.88</f>
        <v>300.12</v>
      </c>
      <c r="D8" s="50">
        <f>D7-310.42</f>
        <v>250.94</v>
      </c>
      <c r="E8" s="51">
        <f>C8/'Kursy walut'!$D$6</f>
        <v>71.89363995688106</v>
      </c>
      <c r="F8" s="50">
        <f>D8/'Kursy walut'!$D$5</f>
        <v>61.057446653203243</v>
      </c>
      <c r="G8" s="70">
        <f t="shared" si="0"/>
        <v>119.59831035307245</v>
      </c>
      <c r="H8" s="51">
        <f>H7-943.87</f>
        <v>80.17999999999995</v>
      </c>
      <c r="I8" s="50">
        <f>I7-1006.27</f>
        <v>39.460000000000036</v>
      </c>
      <c r="J8" s="50">
        <f>H8/'Kursy walut'!$E$6</f>
        <v>19.040607931607681</v>
      </c>
      <c r="K8" s="50">
        <f>I8/'Kursy walut'!$E$5</f>
        <v>9.4546674333908456</v>
      </c>
      <c r="L8" s="100">
        <f t="shared" si="1"/>
        <v>203.19310694374019</v>
      </c>
    </row>
    <row r="9" spans="2:12" x14ac:dyDescent="0.25">
      <c r="B9" s="97" t="s">
        <v>107</v>
      </c>
      <c r="C9" s="47">
        <v>298.17</v>
      </c>
      <c r="D9" s="47">
        <v>251.58</v>
      </c>
      <c r="E9" s="49">
        <f>C9/'Kursy walut'!$D$6</f>
        <v>71.426518145885737</v>
      </c>
      <c r="F9" s="47">
        <f>D9/'Kursy walut'!$D$5</f>
        <v>61.213168203605932</v>
      </c>
      <c r="G9" s="48">
        <f t="shared" si="0"/>
        <v>118.51896017171477</v>
      </c>
      <c r="H9" s="49">
        <v>80.010000000000005</v>
      </c>
      <c r="I9" s="47">
        <v>45.77</v>
      </c>
      <c r="J9" s="47">
        <f>H9/'Kursy walut'!$E$6</f>
        <v>19.000237473284255</v>
      </c>
      <c r="K9" s="47">
        <f>I9/'Kursy walut'!$E$5</f>
        <v>10.96655165804102</v>
      </c>
      <c r="L9" s="98">
        <f t="shared" si="1"/>
        <v>174.80882674240769</v>
      </c>
    </row>
    <row r="10" spans="2:12" x14ac:dyDescent="0.25">
      <c r="B10" s="99" t="s">
        <v>108</v>
      </c>
      <c r="C10" s="50">
        <v>298.11</v>
      </c>
      <c r="D10" s="50">
        <v>2121.5500000000002</v>
      </c>
      <c r="E10" s="51">
        <f>C10/'Kursy walut'!$D$6</f>
        <v>71.412145167085882</v>
      </c>
      <c r="F10" s="50">
        <f>D10/'Kursy walut'!$D$5</f>
        <v>516.2047738387796</v>
      </c>
      <c r="G10" s="70">
        <f t="shared" si="0"/>
        <v>14.051518936626522</v>
      </c>
      <c r="H10" s="51">
        <v>783.41</v>
      </c>
      <c r="I10" s="50">
        <v>1912.07</v>
      </c>
      <c r="J10" s="50">
        <f>H10/'Kursy walut'!$E$6</f>
        <v>186.03894561861787</v>
      </c>
      <c r="K10" s="50">
        <f>I10/'Kursy walut'!$E$5</f>
        <v>458.13446425148544</v>
      </c>
      <c r="L10" s="100">
        <f t="shared" si="1"/>
        <v>40.971826345269783</v>
      </c>
    </row>
    <row r="11" spans="2:12" x14ac:dyDescent="0.25">
      <c r="B11" s="97" t="s">
        <v>110</v>
      </c>
      <c r="C11" s="49">
        <f>C6+C9</f>
        <v>307.47000000000003</v>
      </c>
      <c r="D11" s="49">
        <f>D6+D9</f>
        <v>260.75</v>
      </c>
      <c r="E11" s="49">
        <f>C11/'Kursy walut'!$D$6</f>
        <v>73.654329859863466</v>
      </c>
      <c r="F11" s="47">
        <f>D11/'Kursy walut'!$D$5</f>
        <v>63.444366042969421</v>
      </c>
      <c r="G11" s="48">
        <f t="shared" si="0"/>
        <v>117.91754554170663</v>
      </c>
      <c r="H11" s="49">
        <f>H6+H9</f>
        <v>107.61000000000001</v>
      </c>
      <c r="I11" s="49">
        <f>I6+I9</f>
        <v>73.28</v>
      </c>
      <c r="J11" s="47">
        <f>H11/'Kursy walut'!$E$6</f>
        <v>25.554500118736645</v>
      </c>
      <c r="K11" s="47">
        <f>I11/'Kursy walut'!$E$5</f>
        <v>17.557983515430323</v>
      </c>
      <c r="L11" s="98">
        <f t="shared" si="1"/>
        <v>146.8477074235808</v>
      </c>
    </row>
    <row r="12" spans="2:12" x14ac:dyDescent="0.25">
      <c r="B12" s="99" t="s">
        <v>111</v>
      </c>
      <c r="C12" s="51">
        <f>C10</f>
        <v>298.11</v>
      </c>
      <c r="D12" s="51">
        <f>D10</f>
        <v>2121.5500000000002</v>
      </c>
      <c r="E12" s="51">
        <f>C12/'Kursy walut'!$D$6</f>
        <v>71.412145167085882</v>
      </c>
      <c r="F12" s="50">
        <f>D12/'Kursy walut'!$D$5</f>
        <v>516.2047738387796</v>
      </c>
      <c r="G12" s="70">
        <f t="shared" si="0"/>
        <v>14.051518936626522</v>
      </c>
      <c r="H12" s="51">
        <f>H10</f>
        <v>783.41</v>
      </c>
      <c r="I12" s="51">
        <f>I10</f>
        <v>1912.07</v>
      </c>
      <c r="J12" s="50">
        <f>H12/'Kursy walut'!$E$6</f>
        <v>186.03894561861787</v>
      </c>
      <c r="K12" s="50">
        <f>I12/'Kursy walut'!$E$5</f>
        <v>458.13446425148544</v>
      </c>
      <c r="L12" s="100">
        <f t="shared" si="1"/>
        <v>40.971826345269783</v>
      </c>
    </row>
    <row r="13" spans="2:12" x14ac:dyDescent="0.25">
      <c r="B13" s="97" t="s">
        <v>22</v>
      </c>
      <c r="C13" s="49">
        <f>C12</f>
        <v>298.11</v>
      </c>
      <c r="D13" s="49">
        <v>2104.5500000000002</v>
      </c>
      <c r="E13" s="49">
        <f>C13/'Kursy walut'!$D$6</f>
        <v>71.412145167085882</v>
      </c>
      <c r="F13" s="47">
        <f>D13/'Kursy walut'!$D$5</f>
        <v>512.06842015620828</v>
      </c>
      <c r="G13" s="48">
        <f t="shared" si="0"/>
        <v>14.165023401677319</v>
      </c>
      <c r="H13" s="49">
        <f>H12</f>
        <v>783.41</v>
      </c>
      <c r="I13" s="49">
        <v>1895.07</v>
      </c>
      <c r="J13" s="47">
        <f>H13/'Kursy walut'!$E$6</f>
        <v>186.03894561861787</v>
      </c>
      <c r="K13" s="47">
        <f>I13/'Kursy walut'!$E$5</f>
        <v>454.06124209315692</v>
      </c>
      <c r="L13" s="98">
        <f t="shared" si="1"/>
        <v>41.339370049655159</v>
      </c>
    </row>
    <row r="14" spans="2:12" x14ac:dyDescent="0.25">
      <c r="B14" s="152"/>
      <c r="C14" s="58" t="s">
        <v>174</v>
      </c>
      <c r="D14" s="58" t="s">
        <v>174</v>
      </c>
      <c r="E14" s="58" t="s">
        <v>174</v>
      </c>
      <c r="F14" s="58" t="s">
        <v>174</v>
      </c>
      <c r="G14" s="149" t="s">
        <v>99</v>
      </c>
      <c r="H14" s="58" t="s">
        <v>174</v>
      </c>
      <c r="I14" s="58" t="s">
        <v>174</v>
      </c>
      <c r="J14" s="58" t="s">
        <v>174</v>
      </c>
      <c r="K14" s="58" t="s">
        <v>174</v>
      </c>
      <c r="L14" s="151" t="s">
        <v>99</v>
      </c>
    </row>
    <row r="15" spans="2:12" x14ac:dyDescent="0.25">
      <c r="B15" s="153"/>
      <c r="C15" s="55" t="s">
        <v>100</v>
      </c>
      <c r="D15" s="55" t="s">
        <v>101</v>
      </c>
      <c r="E15" s="55" t="s">
        <v>102</v>
      </c>
      <c r="F15" s="55" t="s">
        <v>103</v>
      </c>
      <c r="G15" s="149"/>
      <c r="H15" s="56" t="s">
        <v>100</v>
      </c>
      <c r="I15" s="55" t="s">
        <v>101</v>
      </c>
      <c r="J15" s="55" t="s">
        <v>102</v>
      </c>
      <c r="K15" s="55" t="s">
        <v>103</v>
      </c>
      <c r="L15" s="151"/>
    </row>
    <row r="16" spans="2:12" x14ac:dyDescent="0.25">
      <c r="B16" s="99" t="s">
        <v>112</v>
      </c>
      <c r="C16" s="52">
        <f>C17+C18</f>
        <v>32145.39</v>
      </c>
      <c r="D16" s="52">
        <f t="shared" ref="D16" si="2">D17+D18</f>
        <v>31184.400000000001</v>
      </c>
      <c r="E16" s="52">
        <f>C16/'Kursy walut'!$C$6</f>
        <v>7751.1067708333339</v>
      </c>
      <c r="F16" s="52">
        <f>D16/'Kursy walut'!$C$5</f>
        <v>7627.9047013355521</v>
      </c>
      <c r="G16" s="53">
        <f>(C16/D16)*100</f>
        <v>103.0816369723323</v>
      </c>
      <c r="H16" s="52">
        <f>H17+H18</f>
        <v>32145.39</v>
      </c>
      <c r="I16" s="52">
        <f t="shared" ref="I16" si="3">I17+I18</f>
        <v>31184.400000000001</v>
      </c>
      <c r="J16" s="52">
        <f>H16/'Kursy walut'!$C$6</f>
        <v>7751.1067708333339</v>
      </c>
      <c r="K16" s="52">
        <f>I16/'Kursy walut'!$C$5</f>
        <v>7627.9047013355521</v>
      </c>
      <c r="L16" s="101">
        <f>(H16/I16)*100</f>
        <v>103.0816369723323</v>
      </c>
    </row>
    <row r="17" spans="2:12" x14ac:dyDescent="0.25">
      <c r="B17" s="97" t="s">
        <v>30</v>
      </c>
      <c r="C17" s="54">
        <v>30574.13</v>
      </c>
      <c r="D17" s="54">
        <v>29620.31</v>
      </c>
      <c r="E17" s="54">
        <f>C17/'Kursy walut'!$C$6</f>
        <v>7372.2342785493829</v>
      </c>
      <c r="F17" s="54">
        <f>D17/'Kursy walut'!$C$5</f>
        <v>7245.3182329631636</v>
      </c>
      <c r="G17" s="66">
        <f t="shared" ref="G17:G28" si="4">(C17/D17)*100</f>
        <v>103.22015535961641</v>
      </c>
      <c r="H17" s="54">
        <v>30574.13</v>
      </c>
      <c r="I17" s="54">
        <v>29620.31</v>
      </c>
      <c r="J17" s="54">
        <f>H17/'Kursy walut'!$C$6</f>
        <v>7372.2342785493829</v>
      </c>
      <c r="K17" s="54">
        <f>I17/'Kursy walut'!$C$5</f>
        <v>7245.3182329631636</v>
      </c>
      <c r="L17" s="102">
        <f t="shared" ref="L17:L28" si="5">(H17/I17)*100</f>
        <v>103.22015535961641</v>
      </c>
    </row>
    <row r="18" spans="2:12" x14ac:dyDescent="0.25">
      <c r="B18" s="99" t="s">
        <v>39</v>
      </c>
      <c r="C18" s="52">
        <v>1571.26</v>
      </c>
      <c r="D18" s="52">
        <v>1564.09</v>
      </c>
      <c r="E18" s="52">
        <f>C18/'Kursy walut'!$C$6</f>
        <v>378.87249228395063</v>
      </c>
      <c r="F18" s="52">
        <f>D18/'Kursy walut'!$C$5</f>
        <v>382.58646837238882</v>
      </c>
      <c r="G18" s="53">
        <f t="shared" si="4"/>
        <v>100.45841351840367</v>
      </c>
      <c r="H18" s="52">
        <v>1571.26</v>
      </c>
      <c r="I18" s="52">
        <v>1564.09</v>
      </c>
      <c r="J18" s="52">
        <f>H18/'Kursy walut'!$C$6</f>
        <v>378.87249228395063</v>
      </c>
      <c r="K18" s="52">
        <f>I18/'Kursy walut'!$C$5</f>
        <v>382.58646837238882</v>
      </c>
      <c r="L18" s="101">
        <f t="shared" si="5"/>
        <v>100.45841351840367</v>
      </c>
    </row>
    <row r="19" spans="2:12" x14ac:dyDescent="0.25">
      <c r="B19" s="97" t="s">
        <v>40</v>
      </c>
      <c r="C19" s="54">
        <v>0</v>
      </c>
      <c r="D19" s="54">
        <v>0</v>
      </c>
      <c r="E19" s="54">
        <f>C19/'Kursy walut'!$C$6</f>
        <v>0</v>
      </c>
      <c r="F19" s="54">
        <f>D19/'Kursy walut'!$C$5</f>
        <v>0</v>
      </c>
      <c r="G19" s="66" t="s">
        <v>109</v>
      </c>
      <c r="H19" s="54">
        <v>0</v>
      </c>
      <c r="I19" s="54">
        <v>0</v>
      </c>
      <c r="J19" s="54">
        <f>H19/'Kursy walut'!$C$6</f>
        <v>0</v>
      </c>
      <c r="K19" s="54">
        <f>I19/'Kursy walut'!$C$5</f>
        <v>0</v>
      </c>
      <c r="L19" s="102" t="s">
        <v>109</v>
      </c>
    </row>
    <row r="20" spans="2:12" x14ac:dyDescent="0.25">
      <c r="B20" s="99" t="s">
        <v>113</v>
      </c>
      <c r="C20" s="52">
        <v>13.33</v>
      </c>
      <c r="D20" s="52">
        <v>349.13</v>
      </c>
      <c r="E20" s="52">
        <f>C20/'Kursy walut'!$C$6</f>
        <v>3.2142168209876547</v>
      </c>
      <c r="F20" s="52">
        <f>D20/'Kursy walut'!$C$5</f>
        <v>85.399442297343583</v>
      </c>
      <c r="G20" s="53">
        <f t="shared" si="4"/>
        <v>3.8180620399278205</v>
      </c>
      <c r="H20" s="52">
        <v>13.33</v>
      </c>
      <c r="I20" s="52">
        <v>349.13</v>
      </c>
      <c r="J20" s="52">
        <f>H20/'Kursy walut'!$C$6</f>
        <v>3.2142168209876547</v>
      </c>
      <c r="K20" s="52">
        <f>I20/'Kursy walut'!$C$5</f>
        <v>85.399442297343583</v>
      </c>
      <c r="L20" s="101">
        <f t="shared" si="5"/>
        <v>3.8180620399278205</v>
      </c>
    </row>
    <row r="21" spans="2:12" x14ac:dyDescent="0.25">
      <c r="B21" s="97" t="s">
        <v>114</v>
      </c>
      <c r="C21" s="54">
        <f>C22+C23</f>
        <v>1321.06</v>
      </c>
      <c r="D21" s="54">
        <f>D22+D23</f>
        <v>959.8</v>
      </c>
      <c r="E21" s="54">
        <f>C21/'Kursy walut'!$C$6</f>
        <v>318.54263117283949</v>
      </c>
      <c r="F21" s="54">
        <f>D21/'Kursy walut'!$C$5</f>
        <v>234.77324984100582</v>
      </c>
      <c r="G21" s="66">
        <f t="shared" si="4"/>
        <v>137.63909147739113</v>
      </c>
      <c r="H21" s="54">
        <f>H22+H23</f>
        <v>1321.06</v>
      </c>
      <c r="I21" s="54">
        <f>I22+I23</f>
        <v>959.8</v>
      </c>
      <c r="J21" s="54">
        <f>H21/'Kursy walut'!$C$6</f>
        <v>318.54263117283949</v>
      </c>
      <c r="K21" s="54">
        <f>I21/'Kursy walut'!$C$5</f>
        <v>234.77324984100582</v>
      </c>
      <c r="L21" s="102">
        <f t="shared" si="5"/>
        <v>137.63909147739113</v>
      </c>
    </row>
    <row r="22" spans="2:12" x14ac:dyDescent="0.25">
      <c r="B22" s="99" t="s">
        <v>115</v>
      </c>
      <c r="C22" s="52">
        <f>714.06+607</f>
        <v>1321.06</v>
      </c>
      <c r="D22" s="52">
        <f>441.88+517.92</f>
        <v>959.8</v>
      </c>
      <c r="E22" s="52">
        <f>C22/'Kursy walut'!$C$6</f>
        <v>318.54263117283949</v>
      </c>
      <c r="F22" s="52">
        <f>D22/'Kursy walut'!$C$5</f>
        <v>234.77324984100582</v>
      </c>
      <c r="G22" s="53">
        <f t="shared" si="4"/>
        <v>137.63909147739113</v>
      </c>
      <c r="H22" s="52">
        <f>714.06+607</f>
        <v>1321.06</v>
      </c>
      <c r="I22" s="52">
        <f>441.88+517.92</f>
        <v>959.8</v>
      </c>
      <c r="J22" s="52">
        <f>H22/'Kursy walut'!$C$6</f>
        <v>318.54263117283949</v>
      </c>
      <c r="K22" s="52">
        <f>I22/'Kursy walut'!$C$5</f>
        <v>234.77324984100582</v>
      </c>
      <c r="L22" s="101">
        <f t="shared" si="5"/>
        <v>137.63909147739113</v>
      </c>
    </row>
    <row r="23" spans="2:12" x14ac:dyDescent="0.25">
      <c r="B23" s="97" t="s">
        <v>116</v>
      </c>
      <c r="C23" s="54">
        <v>0</v>
      </c>
      <c r="D23" s="54">
        <v>0</v>
      </c>
      <c r="E23" s="54">
        <f>C23/'Kursy walut'!$C$6</f>
        <v>0</v>
      </c>
      <c r="F23" s="54">
        <f>D23/'Kursy walut'!$C$5</f>
        <v>0</v>
      </c>
      <c r="G23" s="66" t="s">
        <v>109</v>
      </c>
      <c r="H23" s="54">
        <v>0</v>
      </c>
      <c r="I23" s="54">
        <v>0</v>
      </c>
      <c r="J23" s="54">
        <f>H23/'Kursy walut'!$C$6</f>
        <v>0</v>
      </c>
      <c r="K23" s="54">
        <f>I23/'Kursy walut'!$C$5</f>
        <v>0</v>
      </c>
      <c r="L23" s="102" t="s">
        <v>109</v>
      </c>
    </row>
    <row r="24" spans="2:12" x14ac:dyDescent="0.25">
      <c r="B24" s="99" t="s">
        <v>117</v>
      </c>
      <c r="C24" s="52">
        <f>C25+C26</f>
        <v>433.7</v>
      </c>
      <c r="D24" s="52">
        <f>D25+D26</f>
        <v>256.79000000000002</v>
      </c>
      <c r="E24" s="52">
        <f>C24/'Kursy walut'!$C$6</f>
        <v>104.57658179012346</v>
      </c>
      <c r="F24" s="52">
        <f>D24/'Kursy walut'!$C$5</f>
        <v>62.812484712098247</v>
      </c>
      <c r="G24" s="53">
        <f t="shared" si="4"/>
        <v>168.89286966003348</v>
      </c>
      <c r="H24" s="52">
        <f>H25+H26</f>
        <v>433.7</v>
      </c>
      <c r="I24" s="52">
        <f>I25+I26</f>
        <v>256.79000000000002</v>
      </c>
      <c r="J24" s="52">
        <f>H24/'Kursy walut'!$C$6</f>
        <v>104.57658179012346</v>
      </c>
      <c r="K24" s="52">
        <f>I24/'Kursy walut'!$C$5</f>
        <v>62.812484712098247</v>
      </c>
      <c r="L24" s="101">
        <f t="shared" si="5"/>
        <v>168.89286966003348</v>
      </c>
    </row>
    <row r="25" spans="2:12" x14ac:dyDescent="0.25">
      <c r="B25" s="97" t="s">
        <v>118</v>
      </c>
      <c r="C25" s="54">
        <v>133.87</v>
      </c>
      <c r="D25" s="54">
        <v>133.87</v>
      </c>
      <c r="E25" s="54">
        <f>C25/'Kursy walut'!$C$6</f>
        <v>32.279610339506178</v>
      </c>
      <c r="F25" s="54">
        <f>D25/'Kursy walut'!$C$5</f>
        <v>32.745462550755839</v>
      </c>
      <c r="G25" s="66">
        <f t="shared" si="4"/>
        <v>100</v>
      </c>
      <c r="H25" s="54">
        <v>133.87</v>
      </c>
      <c r="I25" s="54">
        <v>133.87</v>
      </c>
      <c r="J25" s="54">
        <f>H25/'Kursy walut'!$C$6</f>
        <v>32.279610339506178</v>
      </c>
      <c r="K25" s="54">
        <f>I25/'Kursy walut'!$C$5</f>
        <v>32.745462550755839</v>
      </c>
      <c r="L25" s="102">
        <f t="shared" si="5"/>
        <v>100</v>
      </c>
    </row>
    <row r="26" spans="2:12" x14ac:dyDescent="0.25">
      <c r="B26" s="99" t="s">
        <v>70</v>
      </c>
      <c r="C26" s="52">
        <v>299.83</v>
      </c>
      <c r="D26" s="52">
        <v>122.92</v>
      </c>
      <c r="E26" s="52">
        <f>C26/'Kursy walut'!$C$6</f>
        <v>72.296971450617278</v>
      </c>
      <c r="F26" s="52">
        <f>D26/'Kursy walut'!$C$5</f>
        <v>30.067022161342404</v>
      </c>
      <c r="G26" s="53">
        <f t="shared" si="4"/>
        <v>243.92287666775138</v>
      </c>
      <c r="H26" s="52">
        <v>299.83</v>
      </c>
      <c r="I26" s="52">
        <v>122.92</v>
      </c>
      <c r="J26" s="52">
        <f>H26/'Kursy walut'!$C$6</f>
        <v>72.296971450617278</v>
      </c>
      <c r="K26" s="52">
        <f>I26/'Kursy walut'!$C$5</f>
        <v>30.067022161342404</v>
      </c>
      <c r="L26" s="101">
        <f t="shared" si="5"/>
        <v>243.92287666775138</v>
      </c>
    </row>
    <row r="27" spans="2:12" x14ac:dyDescent="0.25">
      <c r="B27" s="97" t="s">
        <v>119</v>
      </c>
      <c r="C27" s="54">
        <v>31711.69</v>
      </c>
      <c r="D27" s="54">
        <v>30927.61</v>
      </c>
      <c r="E27" s="54">
        <f>C27/'Kursy walut'!$C$6</f>
        <v>7646.5301890432102</v>
      </c>
      <c r="F27" s="54">
        <f>D27/'Kursy walut'!$C$5</f>
        <v>7565.0922166234541</v>
      </c>
      <c r="G27" s="66">
        <f t="shared" si="4"/>
        <v>102.53521044788134</v>
      </c>
      <c r="H27" s="54">
        <v>31711.69</v>
      </c>
      <c r="I27" s="54">
        <v>30927.61</v>
      </c>
      <c r="J27" s="54">
        <f>H27/'Kursy walut'!$C$6</f>
        <v>7646.5301890432102</v>
      </c>
      <c r="K27" s="54">
        <f>I27/'Kursy walut'!$C$5</f>
        <v>7565.0922166234541</v>
      </c>
      <c r="L27" s="102">
        <f t="shared" si="5"/>
        <v>102.53521044788134</v>
      </c>
    </row>
    <row r="28" spans="2:12" ht="15.75" thickBot="1" x14ac:dyDescent="0.3">
      <c r="B28" s="103" t="s">
        <v>120</v>
      </c>
      <c r="C28" s="104">
        <v>1799.64</v>
      </c>
      <c r="D28" s="104">
        <v>1799.64</v>
      </c>
      <c r="E28" s="104">
        <f>C28/'Kursy walut'!$C$6</f>
        <v>433.94097222222229</v>
      </c>
      <c r="F28" s="104">
        <f>D28/'Kursy walut'!$C$5</f>
        <v>440.20351254830985</v>
      </c>
      <c r="G28" s="105">
        <f t="shared" si="4"/>
        <v>100</v>
      </c>
      <c r="H28" s="104">
        <v>1799.64</v>
      </c>
      <c r="I28" s="104">
        <v>1799.64</v>
      </c>
      <c r="J28" s="104">
        <f>H28/'Kursy walut'!$C$6</f>
        <v>433.94097222222229</v>
      </c>
      <c r="K28" s="104">
        <f>I28/'Kursy walut'!$C$5</f>
        <v>440.20351254830985</v>
      </c>
      <c r="L28" s="106">
        <f t="shared" si="5"/>
        <v>100</v>
      </c>
    </row>
    <row r="29" spans="2:12" ht="15.75" thickTop="1" x14ac:dyDescent="0.25">
      <c r="C29" s="67"/>
      <c r="D29" s="67"/>
      <c r="H29" s="67"/>
      <c r="I29" s="67"/>
    </row>
    <row r="30" spans="2:12" x14ac:dyDescent="0.25">
      <c r="C30" s="67"/>
      <c r="D30" s="67"/>
      <c r="H30" s="67"/>
      <c r="I30" s="67"/>
    </row>
    <row r="31" spans="2:12" x14ac:dyDescent="0.25">
      <c r="C31" s="67"/>
      <c r="D31" s="67"/>
    </row>
  </sheetData>
  <mergeCells count="6">
    <mergeCell ref="B3:B4"/>
    <mergeCell ref="G3:G4"/>
    <mergeCell ref="L3:L4"/>
    <mergeCell ref="B14:B15"/>
    <mergeCell ref="G14:G15"/>
    <mergeCell ref="L14:L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>
      <selection activeCell="D19" sqref="D19"/>
    </sheetView>
  </sheetViews>
  <sheetFormatPr defaultRowHeight="15" x14ac:dyDescent="0.25"/>
  <cols>
    <col min="2" max="2" width="39" customWidth="1"/>
    <col min="3" max="3" width="13.5703125" customWidth="1"/>
    <col min="4" max="4" width="10.42578125" bestFit="1" customWidth="1"/>
    <col min="5" max="5" width="12.42578125" customWidth="1"/>
    <col min="6" max="6" width="12.5703125" customWidth="1"/>
  </cols>
  <sheetData>
    <row r="3" spans="2:6" ht="15.75" thickBot="1" x14ac:dyDescent="0.3"/>
    <row r="4" spans="2:6" ht="15.75" thickTop="1" x14ac:dyDescent="0.25">
      <c r="B4" s="154"/>
      <c r="C4" s="95" t="s">
        <v>172</v>
      </c>
      <c r="D4" s="95" t="s">
        <v>172</v>
      </c>
      <c r="E4" s="120" t="s">
        <v>175</v>
      </c>
      <c r="F4" s="121" t="s">
        <v>175</v>
      </c>
    </row>
    <row r="5" spans="2:6" x14ac:dyDescent="0.25">
      <c r="B5" s="155"/>
      <c r="C5" s="124">
        <v>2013</v>
      </c>
      <c r="D5" s="124">
        <v>2012</v>
      </c>
      <c r="E5" s="122">
        <v>2013</v>
      </c>
      <c r="F5" s="123">
        <v>2012</v>
      </c>
    </row>
    <row r="6" spans="2:6" x14ac:dyDescent="0.25">
      <c r="B6" s="107" t="s">
        <v>121</v>
      </c>
      <c r="C6" s="108">
        <f>'Wybrane dane finansowe LUG S.A '!C9/'Wybrane dane finansowe LUG S.A '!C5</f>
        <v>0.53724324324324324</v>
      </c>
      <c r="D6" s="108">
        <f>'Wybrane dane finansowe LUG S.A '!D9/'Wybrane dane finansowe LUG S.A '!D5</f>
        <v>0.44816160752458317</v>
      </c>
      <c r="E6" s="109">
        <f>'Wybrane dane finansowe LUG S.A '!H9/'Wybrane dane finansowe LUG S.A '!H5</f>
        <v>7.8042547380536675E-2</v>
      </c>
      <c r="F6" s="110">
        <f>'Wybrane dane finansowe LUG S.A '!I9/'Wybrane dane finansowe LUG S.A '!I5</f>
        <v>4.3630366811561051E-2</v>
      </c>
    </row>
    <row r="7" spans="2:6" x14ac:dyDescent="0.25">
      <c r="B7" s="111" t="s">
        <v>122</v>
      </c>
      <c r="C7" s="112">
        <f>'Wybrane dane finansowe LUG S.A '!C11/'Wybrane dane finansowe LUG S.A '!C5</f>
        <v>0.55400000000000005</v>
      </c>
      <c r="D7" s="112">
        <f>'Wybrane dane finansowe LUG S.A '!D11/'Wybrane dane finansowe LUG S.A '!D5</f>
        <v>0.46449693601254094</v>
      </c>
      <c r="E7" s="113">
        <f>'Wybrane dane finansowe LUG S.A '!H11/'Wybrane dane finansowe LUG S.A '!H5</f>
        <v>0.10496386106261157</v>
      </c>
      <c r="F7" s="114">
        <f>'Wybrane dane finansowe LUG S.A '!I11/'Wybrane dane finansowe LUG S.A '!I5</f>
        <v>6.9854343018378715E-2</v>
      </c>
    </row>
    <row r="8" spans="2:6" x14ac:dyDescent="0.25">
      <c r="B8" s="107" t="s">
        <v>123</v>
      </c>
      <c r="C8" s="108">
        <f>'Wybrane dane finansowe LUG S.A '!C13/'Wybrane dane finansowe LUG S.A '!C5</f>
        <v>0.53713513513513511</v>
      </c>
      <c r="D8" s="108">
        <f>'Wybrane dane finansowe LUG S.A '!D13/'Wybrane dane finansowe LUG S.A '!D5</f>
        <v>3.7490202365683345</v>
      </c>
      <c r="E8" s="108">
        <f>'Wybrane dane finansowe LUG S.A '!H13/'Wybrane dane finansowe LUG S.A '!H5</f>
        <v>0.7641458823070395</v>
      </c>
      <c r="F8" s="110">
        <f>'Wybrane dane finansowe LUG S.A '!I13/'Wybrane dane finansowe LUG S.A '!I5</f>
        <v>1.8064802104781514</v>
      </c>
    </row>
    <row r="9" spans="2:6" x14ac:dyDescent="0.25">
      <c r="B9" s="111" t="s">
        <v>124</v>
      </c>
      <c r="C9" s="112">
        <f>'Wybrane dane finansowe LUG S.A '!C13/('Wybrane dane finansowe LUG S.A '!C16-'Wybrane dane finansowe LUG S.A '!C24)</f>
        <v>9.4006342771388099E-3</v>
      </c>
      <c r="D9" s="112">
        <f>'Wybrane dane finansowe LUG S.A '!D13/('Wybrane dane finansowe LUG S.A '!D16-'Wybrane dane finansowe LUG S.A '!D24)</f>
        <v>6.8047611826455398E-2</v>
      </c>
      <c r="E9" s="113">
        <f>'Wybrane dane finansowe LUG S.A '!H13/('Wybrane dane finansowe LUG S.A '!H16-'Wybrane dane finansowe LUG S.A '!H24)</f>
        <v>2.4704139073004307E-2</v>
      </c>
      <c r="F9" s="114">
        <f>'Wybrane dane finansowe LUG S.A '!I13/('Wybrane dane finansowe LUG S.A '!I16-'Wybrane dane finansowe LUG S.A '!I24)</f>
        <v>6.1274375873208435E-2</v>
      </c>
    </row>
    <row r="10" spans="2:6" x14ac:dyDescent="0.25">
      <c r="B10" s="115" t="s">
        <v>125</v>
      </c>
      <c r="C10" s="108">
        <f>'Wybrane dane finansowe LUG S.A '!C13/'Wybrane dane finansowe LUG S.A '!C16</f>
        <v>9.273802557691788E-3</v>
      </c>
      <c r="D10" s="108">
        <f>'Wybrane dane finansowe LUG S.A '!D13/'Wybrane dane finansowe LUG S.A '!D16</f>
        <v>6.7487269275663481E-2</v>
      </c>
      <c r="E10" s="109">
        <f>'Wybrane dane finansowe LUG S.A '!H13/'Wybrane dane finansowe LUG S.A '!H16</f>
        <v>2.4370835133747017E-2</v>
      </c>
      <c r="F10" s="110">
        <f>'Wybrane dane finansowe LUG S.A '!I13/'Wybrane dane finansowe LUG S.A '!I16</f>
        <v>6.0769807980913526E-2</v>
      </c>
    </row>
    <row r="11" spans="2:6" x14ac:dyDescent="0.25">
      <c r="B11" s="111" t="s">
        <v>126</v>
      </c>
      <c r="C11" s="112">
        <f>'Wybrane dane finansowe LUG S.A '!C18/'Wybrane dane finansowe LUG S.A '!C26</f>
        <v>5.2405029516726147</v>
      </c>
      <c r="D11" s="112">
        <f>'Wybrane dane finansowe LUG S.A '!D18/'Wybrane dane finansowe LUG S.A '!D26</f>
        <v>12.724454930035796</v>
      </c>
      <c r="E11" s="112">
        <f>'Wybrane dane finansowe LUG S.A '!H18/'Wybrane dane finansowe LUG S.A '!H26</f>
        <v>5.2405029516726147</v>
      </c>
      <c r="F11" s="114">
        <f>'Wybrane dane finansowe LUG S.A '!I18/'Wybrane dane finansowe LUG S.A '!I26</f>
        <v>12.724454930035796</v>
      </c>
    </row>
    <row r="12" spans="2:6" ht="15.75" thickBot="1" x14ac:dyDescent="0.3">
      <c r="B12" s="116" t="s">
        <v>127</v>
      </c>
      <c r="C12" s="117">
        <f>'Wybrane dane finansowe LUG S.A '!C24/'Wybrane dane finansowe LUG S.A '!C16</f>
        <v>1.3491825733021127E-2</v>
      </c>
      <c r="D12" s="117">
        <f>'Wybrane dane finansowe LUG S.A '!D24/'Wybrane dane finansowe LUG S.A '!D16</f>
        <v>8.2345660009491926E-3</v>
      </c>
      <c r="E12" s="118">
        <f>'Wybrane dane finansowe LUG S.A '!H24/'Wybrane dane finansowe LUG S.A '!H16</f>
        <v>1.3491825733021127E-2</v>
      </c>
      <c r="F12" s="119">
        <f>'Wybrane dane finansowe LUG S.A '!I24/'Wybrane dane finansowe LUG S.A '!I16</f>
        <v>8.2345660009491926E-3</v>
      </c>
    </row>
    <row r="13" spans="2:6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156"/>
      <c r="C3" s="93" t="s">
        <v>128</v>
      </c>
      <c r="D3" s="93" t="s">
        <v>129</v>
      </c>
      <c r="E3" s="91" t="s">
        <v>129</v>
      </c>
    </row>
    <row r="4" spans="2:5" x14ac:dyDescent="0.25">
      <c r="B4" s="157"/>
      <c r="C4" s="94" t="s">
        <v>178</v>
      </c>
      <c r="D4" s="94" t="s">
        <v>172</v>
      </c>
      <c r="E4" s="92" t="s">
        <v>179</v>
      </c>
    </row>
    <row r="5" spans="2:5" x14ac:dyDescent="0.25">
      <c r="B5" s="61">
        <v>2012</v>
      </c>
      <c r="C5" s="59">
        <v>4.0881999999999996</v>
      </c>
      <c r="D5" s="60">
        <v>4.1098999999999997</v>
      </c>
      <c r="E5" s="62">
        <v>4.1736000000000004</v>
      </c>
    </row>
    <row r="6" spans="2:5" ht="15.75" thickBot="1" x14ac:dyDescent="0.3">
      <c r="B6" s="63">
        <v>2013</v>
      </c>
      <c r="C6" s="64">
        <v>4.1471999999999998</v>
      </c>
      <c r="D6" s="64">
        <v>4.1745000000000001</v>
      </c>
      <c r="E6" s="65">
        <v>4.2110000000000003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LUG S.A.</vt:lpstr>
      <vt:lpstr>Sk. spr.z cał.doch. LUG S.A.</vt:lpstr>
      <vt:lpstr>Bilans LUG S.A.</vt:lpstr>
      <vt:lpstr>Zest.zmian w kap.wł. LUG S.A.</vt:lpstr>
      <vt:lpstr>Rach.przep.pienięż LUG S.A.</vt:lpstr>
      <vt:lpstr>Wybrane dane finansowe LUG S.A </vt:lpstr>
      <vt:lpstr>Wskaźniki finansowe LUG S.A.</vt:lpstr>
      <vt:lpstr>Kursy walut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2014-02-05T09:36:55Z</cp:lastPrinted>
  <dcterms:created xsi:type="dcterms:W3CDTF">2013-11-04T11:55:12Z</dcterms:created>
  <dcterms:modified xsi:type="dcterms:W3CDTF">2014-03-07T13:20:51Z</dcterms:modified>
</cp:coreProperties>
</file>